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7" activeTab="2"/>
  </bookViews>
  <sheets>
    <sheet name="How To" sheetId="1" r:id="rId1"/>
    <sheet name="Read Me First" sheetId="2" r:id="rId2"/>
    <sheet name="Input Data Here" sheetId="3" r:id="rId3"/>
    <sheet name="Prop Spec (long)" sheetId="4" r:id="rId4"/>
    <sheet name="Displacement Speed" sheetId="5" r:id="rId5"/>
    <sheet name="Torque &amp; SHP" sheetId="6" r:id="rId6"/>
    <sheet name="Prop Dia" sheetId="7" r:id="rId7"/>
    <sheet name="Min Prop Dia" sheetId="8" r:id="rId8"/>
    <sheet name="Prop Pitch" sheetId="9" r:id="rId9"/>
    <sheet name="Bollard thrust" sheetId="10" r:id="rId10"/>
    <sheet name="Displacement Length" sheetId="11" r:id="rId11"/>
    <sheet name="SL vs DL" sheetId="12" r:id="rId12"/>
    <sheet name="Planing Speed" sheetId="13" r:id="rId13"/>
    <sheet name="Ap &amp; Ad" sheetId="14" r:id="rId14"/>
    <sheet name="MWR &amp; DAR" sheetId="15" r:id="rId15"/>
    <sheet name="Block Coefficient" sheetId="16" r:id="rId16"/>
    <sheet name="Wake Factor" sheetId="17" r:id="rId17"/>
    <sheet name="Shaft material" sheetId="18" r:id="rId18"/>
    <sheet name="Shaft dia" sheetId="19" r:id="rId19"/>
    <sheet name="Shaft bearings" sheetId="20" r:id="rId20"/>
    <sheet name="Prop weight" sheetId="21" r:id="rId21"/>
    <sheet name="Pitch vs Dia" sheetId="22" r:id="rId22"/>
    <sheet name="2 &amp; 4 Bladed props" sheetId="23" r:id="rId23"/>
    <sheet name="Propeller HP" sheetId="24" r:id="rId24"/>
    <sheet name="Analysis Pitch" sheetId="25" r:id="rId25"/>
    <sheet name="Metric conversion" sheetId="26" r:id="rId26"/>
    <sheet name="Power Required" sheetId="27" r:id="rId27"/>
  </sheets>
  <definedNames>
    <definedName name="Excel_BuiltIn__FilterDatabase" localSheetId="0">'How To'!$A$13:$B$23</definedName>
  </definedNames>
  <calcPr fullCalcOnLoad="1"/>
</workbook>
</file>

<file path=xl/sharedStrings.xml><?xml version="1.0" encoding="utf-8"?>
<sst xmlns="http://schemas.openxmlformats.org/spreadsheetml/2006/main" count="442" uniqueCount="400">
  <si>
    <t>Surfbaud Marine Propeller Calculator. V1.04 Sept 1998.</t>
  </si>
  <si>
    <t>Website</t>
  </si>
  <si>
    <t>e-mail</t>
  </si>
  <si>
    <t>Read-Me-First!</t>
  </si>
  <si>
    <r>
      <t>This spreadsheet and all the contents are Copyright Surfbaud 1998.</t>
    </r>
    <r>
      <rPr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(MS Excel copyright acknowledged)</t>
    </r>
  </si>
  <si>
    <t>Navigate through this spreadsheet via the hyperlinks below.</t>
  </si>
  <si>
    <t>Input Data Here</t>
  </si>
  <si>
    <r>
      <t xml:space="preserve">Please Note that this version, V1.04 is strictly a </t>
    </r>
    <r>
      <rPr>
        <b/>
        <u val="single"/>
        <sz val="14"/>
        <color indexed="10"/>
        <rFont val="Times New Roman"/>
        <family val="1"/>
      </rPr>
      <t>BETA release.</t>
    </r>
  </si>
  <si>
    <t>Please use the email link above to return feedback. I will incorporate any requests in the final release,</t>
  </si>
  <si>
    <t>and will e-mail the final version to those who request it. My apologies for not releasing the finished</t>
  </si>
  <si>
    <t>article, but I just haven't had the time. Basically you are getting 95% functionality.</t>
  </si>
  <si>
    <t>Read Me First</t>
  </si>
  <si>
    <t>How To</t>
  </si>
  <si>
    <t>Do not work with your only saved version of this sheet, make a copy!</t>
  </si>
  <si>
    <t xml:space="preserve"> Denotes a cell for user data input.</t>
  </si>
  <si>
    <t xml:space="preserve"> Denotes a cell that has carried data forward from another area.</t>
  </si>
  <si>
    <t xml:space="preserve"> Denotes a cell that has produced a result from a formula.</t>
  </si>
  <si>
    <r>
      <t xml:space="preserve"> Do NOT attempt to enter data anywhere </t>
    </r>
    <r>
      <rPr>
        <b/>
        <u val="single"/>
        <sz val="12"/>
        <color indexed="10"/>
        <rFont val="Arial"/>
        <family val="2"/>
      </rPr>
      <t>except</t>
    </r>
    <r>
      <rPr>
        <u val="single"/>
        <sz val="12"/>
        <color indexed="10"/>
        <rFont val="Arial"/>
        <family val="2"/>
      </rPr>
      <t xml:space="preserve"> a green cell! </t>
    </r>
  </si>
  <si>
    <t>This is a freeware product knocked up in my spare time. It is not meant to be a commercial product and</t>
  </si>
  <si>
    <t>so it is possible to get stupid answers by using bad data. While some attempt has been made to track this</t>
  </si>
  <si>
    <t>a small dose of common sense when using this sheet will work wonders!</t>
  </si>
  <si>
    <t>Numerical Conventions and Units used.</t>
  </si>
  <si>
    <t xml:space="preserve">This spreadsheet is exclusively based upon the Imperial system of measurement. </t>
  </si>
  <si>
    <t xml:space="preserve">This spreadsheet works internally to a high degree of precision, but input and displayed </t>
  </si>
  <si>
    <t>data is limited to a level of precision that is considered both meaningful and practical</t>
  </si>
  <si>
    <t>for the end user.</t>
  </si>
  <si>
    <t>A Metric to Imperial conversion utility is included.</t>
  </si>
  <si>
    <t>General Overview.</t>
  </si>
  <si>
    <t xml:space="preserve">The calculation of propeller data can soon become an immensely complex task. The user </t>
  </si>
  <si>
    <t>will understand that winter waters near the outflow of a large river will be denser</t>
  </si>
  <si>
    <t xml:space="preserve">than summer waters in the med. Add in hull fouling over the season, sea state, hull profiles and </t>
  </si>
  <si>
    <t>coatings, and it can soon be seen that there is no nice mathematical solution to be had.</t>
  </si>
  <si>
    <t xml:space="preserve">Due to these variables propeller selection has always been a bit of a black art, in </t>
  </si>
  <si>
    <t>that it is practically impossible for the average sailor to determine whether his</t>
  </si>
  <si>
    <t xml:space="preserve">vessel is fitted with the ideal prop. Even a prop that just absorbs full motor power may well </t>
  </si>
  <si>
    <t>be less than ideal, as there is more than one pitch/diameter/area/profile that will absorb any</t>
  </si>
  <si>
    <t>given amount of power.</t>
  </si>
  <si>
    <t>The object of this spreadsheet is to allow the user to enter a few items of readily obtainable</t>
  </si>
  <si>
    <t>data, data which is of a concrete nature, such as waterline length, and for the spreadsheet</t>
  </si>
  <si>
    <t>to do all the complex calculations and produce a set of simple figures which the user</t>
  </si>
  <si>
    <t>can then comprehend easily and use as a shopping list spec.</t>
  </si>
  <si>
    <t>By the nature of the medium, the results produced will indicate a "best match" solution.</t>
  </si>
  <si>
    <t>Bear in mind that there is no unique solution, as every change in each variable such as</t>
  </si>
  <si>
    <t xml:space="preserve">water salinity (density) will alter the ideal prop spec. Only high budget powerboat racers </t>
  </si>
  <si>
    <t>have the luxury of selecting from 10 or 20 different props according to the conditions at</t>
  </si>
  <si>
    <t>the time of the race.</t>
  </si>
  <si>
    <t>Weird Results.</t>
  </si>
  <si>
    <t>There is an old saying in computers, Garbage In, Garbage Out. So check your data</t>
  </si>
  <si>
    <t>carefully, particularly if the results generated are off what you would expect.</t>
  </si>
  <si>
    <t>It is quite possible, even likely, that owners of production vessels will find that the results</t>
  </si>
  <si>
    <t>generated indicate a different set of figures to the actual specification of their vessel. This</t>
  </si>
  <si>
    <t>is due to the fact that the boat manufacturer has to juggle many other items in the equation,</t>
  </si>
  <si>
    <t>such as engine power versus accommodation volume, etceteras. This is even true of very expensive</t>
  </si>
  <si>
    <t>yachts, so do not assume that the results produced are wrong just because they do not match</t>
  </si>
  <si>
    <t>the original spec of your quarter of a million pound yacht!</t>
  </si>
  <si>
    <t>This sheet has been thoroughly checked against actual real world figures on a very wide sample</t>
  </si>
  <si>
    <t>of vessels (3 figure sample) and it produces excellent results. It does produce better data for true</t>
  </si>
  <si>
    <t xml:space="preserve">displacement hulls than any other form, but data produced for semi-displacement hulls is still </t>
  </si>
  <si>
    <t>extremely good. Data produced for planing hulls is good, but should be treated as an "expert</t>
  </si>
  <si>
    <t>guide" rather than a rule of law. Exotica such as surface propellers and hydrofoils are not</t>
  </si>
  <si>
    <t>modelled very well. Note that all hull types, even racing hydrofoils, fit the numbers well when</t>
  </si>
  <si>
    <t>off the plane and acting as displacement hulls.</t>
  </si>
  <si>
    <t>What this isn't.</t>
  </si>
  <si>
    <t>This sheet does not attempt to be a learning resource, there are enough textbooks</t>
  </si>
  <si>
    <t>already out there on the subject, so you won't be gaining enlightenment through the use</t>
  </si>
  <si>
    <t>of this sheet. What you will be doing is inputting a few figures and getting good answers.</t>
  </si>
  <si>
    <t>Very useful when planning the re-engine project in the winter evenings, or impressing the</t>
  </si>
  <si>
    <t xml:space="preserve">Commodore of the local yacht club, or just maximising fuel economy and "oomph" from your </t>
  </si>
  <si>
    <t>existing set-up.</t>
  </si>
  <si>
    <t>User are also asked to note that the bulk of the individual sheets are there merely for</t>
  </si>
  <si>
    <t>those that wish to see "under the bonnet". The data generated is used and collated</t>
  </si>
  <si>
    <t>into the same sheet as Data Input. So results are immediately presented next</t>
  </si>
  <si>
    <t>to input without the need to click through the whole spreadsheet.</t>
  </si>
  <si>
    <t>Some Notes.</t>
  </si>
  <si>
    <r>
      <t xml:space="preserve">Many sailors worry about the drag of a "big" three bladed prop. This can be </t>
    </r>
    <r>
      <rPr>
        <u val="single"/>
        <sz val="10"/>
        <rFont val="Arial"/>
        <family val="2"/>
      </rPr>
      <t>dramatically</t>
    </r>
    <r>
      <rPr>
        <sz val="10"/>
        <rFont val="Arial"/>
        <family val="2"/>
      </rPr>
      <t xml:space="preserve"> reduced</t>
    </r>
  </si>
  <si>
    <t>if the prop and shaft are allowed to rotate freely in the wake. Check your gearbox design before</t>
  </si>
  <si>
    <r>
      <t xml:space="preserve">doing this as it </t>
    </r>
    <r>
      <rPr>
        <u val="single"/>
        <sz val="10"/>
        <rFont val="Arial"/>
        <family val="2"/>
      </rPr>
      <t>may</t>
    </r>
    <r>
      <rPr>
        <sz val="10"/>
        <rFont val="Arial"/>
        <family val="2"/>
      </rPr>
      <t xml:space="preserve"> result in damage. Fit a "de-coupler" if needed.</t>
    </r>
  </si>
  <si>
    <t>Lower shaft RPM = higher prop pitch and less drag when sailing, but also = larger prop diameter</t>
  </si>
  <si>
    <t>when motoring. Large prop dia = efficient thrust = less effects of short seas or windage "braking"</t>
  </si>
  <si>
    <r>
      <t>EVERY</t>
    </r>
    <r>
      <rPr>
        <sz val="10"/>
        <color indexed="10"/>
        <rFont val="Arial"/>
        <family val="2"/>
      </rPr>
      <t xml:space="preserve"> prop represents a trade-off somewhere in the equation, personally I would recommend a</t>
    </r>
  </si>
  <si>
    <t>motor / gearbox / prop spec that will drive your hull at hull speed and create a reasonable bow wave</t>
  </si>
  <si>
    <t>with an "ideal" 33% DAR 3 blade prop. This will always get you off lee shores, tow, be economical etc.</t>
  </si>
  <si>
    <t>Use of any other configuration will restrict the maximum performance of your vessel when</t>
  </si>
  <si>
    <r>
      <t xml:space="preserve">motoring. </t>
    </r>
    <r>
      <rPr>
        <b/>
        <sz val="10"/>
        <color indexed="12"/>
        <rFont val="Arial"/>
        <family val="2"/>
      </rPr>
      <t>This could have serious safety repercussions in adverse conditions.</t>
    </r>
  </si>
  <si>
    <t>Copyright and Distribution.</t>
  </si>
  <si>
    <t xml:space="preserve"> </t>
  </si>
  <si>
    <t>This product is exclusive Copyright of Surfbaud 1998 / 1999 / 2000</t>
  </si>
  <si>
    <t xml:space="preserve">Surfbaud acknowledge copyright of Microsoft for Excel and Windows95, on which this </t>
  </si>
  <si>
    <t>spreadsheet was created.</t>
  </si>
  <si>
    <r>
      <t xml:space="preserve">Surfbaud produce this work as </t>
    </r>
    <r>
      <rPr>
        <b/>
        <sz val="10"/>
        <rFont val="Arial"/>
        <family val="2"/>
      </rPr>
      <t>freeware</t>
    </r>
    <r>
      <rPr>
        <sz val="10"/>
        <rFont val="Arial"/>
        <family val="2"/>
      </rPr>
      <t>.</t>
    </r>
  </si>
  <si>
    <r>
      <t xml:space="preserve">Freeware may be freely distributed and copied, but </t>
    </r>
    <r>
      <rPr>
        <b/>
        <sz val="10"/>
        <rFont val="Arial"/>
        <family val="2"/>
      </rPr>
      <t>NO CHARGE</t>
    </r>
    <r>
      <rPr>
        <sz val="10"/>
        <rFont val="Arial"/>
        <family val="2"/>
      </rPr>
      <t xml:space="preserve"> whatsoever may be made.</t>
    </r>
  </si>
  <si>
    <r>
      <t xml:space="preserve">Surfbaud </t>
    </r>
    <r>
      <rPr>
        <b/>
        <sz val="10"/>
        <rFont val="Arial"/>
        <family val="2"/>
      </rPr>
      <t xml:space="preserve">EXPRESSLY PROHIBIT </t>
    </r>
    <r>
      <rPr>
        <sz val="10"/>
        <rFont val="Arial"/>
        <family val="2"/>
      </rPr>
      <t>any and all alterations of whatever form of any part of this work.</t>
    </r>
  </si>
  <si>
    <t>If you wish, you may examine the formulae contained, and re-use them in another product or</t>
  </si>
  <si>
    <t>application, but you must NOT copy and paste to do so. If you do reverse engineer this work</t>
  </si>
  <si>
    <t>to create an new and different work, Surfbaud would appreciate an acknowledgement.</t>
  </si>
  <si>
    <t xml:space="preserve">No responsobility is accepted for any loss or injury, financial or otherwise, arising out of use </t>
  </si>
  <si>
    <t>of this work. It is meant as a guide, not a bible.</t>
  </si>
  <si>
    <t>Number of Motors (2 max)</t>
  </si>
  <si>
    <t>Max displacement in lbs</t>
  </si>
  <si>
    <t>BHP per Motor</t>
  </si>
  <si>
    <t>LWL in feet</t>
  </si>
  <si>
    <r>
      <t xml:space="preserve">Max </t>
    </r>
    <r>
      <rPr>
        <b/>
        <sz val="10"/>
        <rFont val="Arial"/>
        <family val="2"/>
      </rPr>
      <t>continuous</t>
    </r>
    <r>
      <rPr>
        <sz val="10"/>
        <rFont val="Arial"/>
        <family val="2"/>
      </rPr>
      <t xml:space="preserve"> RPM</t>
    </r>
  </si>
  <si>
    <t>Beam waterline in feet</t>
  </si>
  <si>
    <t>Hull Draft in feet exc keel or deadwood</t>
  </si>
  <si>
    <t># of gearboxes or vee drives</t>
  </si>
  <si>
    <t>reqd speed in Knots</t>
  </si>
  <si>
    <t># of bearings</t>
  </si>
  <si>
    <t>"C" for hull</t>
  </si>
  <si>
    <t>(150 for runabout, 190 for fast, 210 for race.)</t>
  </si>
  <si>
    <t>g/box reduction ratio</t>
  </si>
  <si>
    <t>Max prop dia in inches</t>
  </si>
  <si>
    <t>Experiment with g/b ratio &amp; max dia if reqd.</t>
  </si>
  <si>
    <t>Results</t>
  </si>
  <si>
    <t>propellers, each</t>
  </si>
  <si>
    <t>diameter</t>
  </si>
  <si>
    <t>inch pitch, with DAR</t>
  </si>
  <si>
    <t>material</t>
  </si>
  <si>
    <t>propshaft</t>
  </si>
  <si>
    <t>ft propshaft bearing spacing</t>
  </si>
  <si>
    <t xml:space="preserve">will develop </t>
  </si>
  <si>
    <t>pounds of bollard pull.</t>
  </si>
  <si>
    <t>Warnings</t>
  </si>
  <si>
    <t>Propeller Specification (long)</t>
  </si>
  <si>
    <t>Propeller Diameter (inch)</t>
  </si>
  <si>
    <t>Number of Propellers</t>
  </si>
  <si>
    <t>Propeller Pitch (inch)</t>
  </si>
  <si>
    <t>Number of blades</t>
  </si>
  <si>
    <t>Disk Area Ratio</t>
  </si>
  <si>
    <t>Maximum RPM</t>
  </si>
  <si>
    <t>Weight (lbs (bronze) 3 blade)</t>
  </si>
  <si>
    <t>Shaft Diameter (inch)</t>
  </si>
  <si>
    <t>Maximum Static Thrust (lbs)</t>
  </si>
  <si>
    <t>Displacement Speed</t>
  </si>
  <si>
    <t>Formula for Speed : Length ratio</t>
  </si>
  <si>
    <r>
      <t>True S/L ratio = Knots / square root ( LWL )</t>
    </r>
    <r>
      <rPr>
        <b/>
        <sz val="10"/>
        <color indexed="10"/>
        <rFont val="Arial"/>
        <family val="2"/>
      </rPr>
      <t xml:space="preserve"> (B)</t>
    </r>
  </si>
  <si>
    <r>
      <t xml:space="preserve">Calculated S/L ratio = 10.665 / cube root ( max DISP / SHP ) </t>
    </r>
    <r>
      <rPr>
        <sz val="10"/>
        <color indexed="10"/>
        <rFont val="Arial"/>
        <family val="2"/>
      </rPr>
      <t>(A)</t>
    </r>
  </si>
  <si>
    <t>motor HP</t>
  </si>
  <si>
    <t># motors</t>
  </si>
  <si>
    <t>Max "hull speed" (knots)</t>
  </si>
  <si>
    <t>% transmission losses</t>
  </si>
  <si>
    <t>Reqd speed</t>
  </si>
  <si>
    <t>SHP at prop</t>
  </si>
  <si>
    <r>
      <t xml:space="preserve">Speed Length Ratio </t>
    </r>
    <r>
      <rPr>
        <b/>
        <sz val="10"/>
        <color indexed="10"/>
        <rFont val="Arial"/>
        <family val="2"/>
      </rPr>
      <t>(B)</t>
    </r>
  </si>
  <si>
    <r>
      <t xml:space="preserve">Speed Length Ratio </t>
    </r>
    <r>
      <rPr>
        <sz val="10"/>
        <color indexed="10"/>
        <rFont val="Arial"/>
        <family val="2"/>
      </rPr>
      <t>(A)</t>
    </r>
  </si>
  <si>
    <r>
      <t xml:space="preserve">Average of </t>
    </r>
    <r>
      <rPr>
        <sz val="10"/>
        <color indexed="10"/>
        <rFont val="Arial"/>
        <family val="2"/>
      </rPr>
      <t>(A)</t>
    </r>
    <r>
      <rPr>
        <sz val="10"/>
        <rFont val="Arial"/>
        <family val="2"/>
      </rPr>
      <t xml:space="preserve"> &amp; </t>
    </r>
    <r>
      <rPr>
        <sz val="10"/>
        <color indexed="10"/>
        <rFont val="Arial"/>
        <family val="2"/>
      </rPr>
      <t>(B)</t>
    </r>
  </si>
  <si>
    <r>
      <t xml:space="preserve">Alternative estimate of SHP reqd based on average of </t>
    </r>
    <r>
      <rPr>
        <sz val="10"/>
        <color indexed="10"/>
        <rFont val="Arial"/>
        <family val="2"/>
      </rPr>
      <t>(A)</t>
    </r>
    <r>
      <rPr>
        <sz val="10"/>
        <rFont val="Arial"/>
        <family val="2"/>
      </rPr>
      <t xml:space="preserve"> &amp;</t>
    </r>
    <r>
      <rPr>
        <sz val="10"/>
        <color indexed="10"/>
        <rFont val="Arial"/>
        <family val="2"/>
      </rPr>
      <t xml:space="preserve"> (B)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guide only!</t>
    </r>
    <r>
      <rPr>
        <sz val="10"/>
        <rFont val="Arial"/>
        <family val="2"/>
      </rPr>
      <t>)</t>
    </r>
  </si>
  <si>
    <t>SHP reqd</t>
  </si>
  <si>
    <t>SHP available</t>
  </si>
  <si>
    <t>SHP for ancilliaries</t>
  </si>
  <si>
    <t>Engine Horsepower</t>
  </si>
  <si>
    <t xml:space="preserve">Engine R.P.M. (max) </t>
  </si>
  <si>
    <t>Engine Torque ft/lb</t>
  </si>
  <si>
    <t># bearings between gearbox output and propeller.</t>
  </si>
  <si>
    <t>Gearbox reduction ratio.</t>
  </si>
  <si>
    <t>Percentage power loss in transmission.</t>
  </si>
  <si>
    <t xml:space="preserve"> Shaft Horsepower at propeller.</t>
  </si>
  <si>
    <t>Total SHP</t>
  </si>
  <si>
    <t>Propeller RPM</t>
  </si>
  <si>
    <t>Propeller Torque ft/lb</t>
  </si>
  <si>
    <t xml:space="preserve">Total prop torque ft/lbs </t>
  </si>
  <si>
    <t>NB  Max engine RPM should not be more than 85% of stated max RPM unless a continuous-duty heavy marine diesel is used!</t>
  </si>
  <si>
    <t>NB This excludes power required by ancilliaries driven by the engine, such as hydraulic pumps or generators.</t>
  </si>
  <si>
    <t>Propeller Diameter (ideal)</t>
  </si>
  <si>
    <t>Formula</t>
  </si>
  <si>
    <t>D= ( 632.7 x ( shaft HP exp 0.2 ) ) / ( RPM exp 0.6 )</t>
  </si>
  <si>
    <t xml:space="preserve"> Ideal Minimum prop diameter for hull </t>
  </si>
  <si>
    <t xml:space="preserve"> Maximum prop diameter permissible.</t>
  </si>
  <si>
    <t xml:space="preserve"> SHP</t>
  </si>
  <si>
    <t>RPM</t>
  </si>
  <si>
    <t xml:space="preserve"> Theoretical ideal prop diameter (inches).</t>
  </si>
  <si>
    <t>This is for a "standard" 3 blade prop with 33% Disc Area Ratio,</t>
  </si>
  <si>
    <t>This "standard" configuration is the ideal form of propeller. Use of propellers with a greater Disc Area Ratio</t>
  </si>
  <si>
    <t>or a greater number of blades is recommended only for special applications such as fishery. The use of props</t>
  </si>
  <si>
    <t>with lower DAR and/or two blades is recommended only for special applications such as racing sailboats.</t>
  </si>
  <si>
    <t>These special applications should consider the use of alternatives to the rigid propeller, such as variable</t>
  </si>
  <si>
    <t>pitch or folding or ducted designs.</t>
  </si>
  <si>
    <t xml:space="preserve">The more a prop deviates from "standard" configuration, the greater the trade off in lost performance at one end </t>
  </si>
  <si>
    <t>of the curve to boost performance in the other. A low drag sailing prop will not have sufficient area to generate large</t>
  </si>
  <si>
    <t>thrust. A large area towing prop will have a high drag when sailing. A high thrust prop is not a high speed prop.</t>
  </si>
  <si>
    <t>Minimum Propeller Diameter.</t>
  </si>
  <si>
    <t>D = 4.07 x ( square root ( beam WL feet x Hull draft (exc. keel) in feet ) )</t>
  </si>
  <si>
    <t>BWL</t>
  </si>
  <si>
    <t>max prop dia input</t>
  </si>
  <si>
    <t>HD</t>
  </si>
  <si>
    <t>adjustment</t>
  </si>
  <si>
    <t>factor</t>
  </si>
  <si>
    <t>Adjustment factor for # motors</t>
  </si>
  <si>
    <t>calculation</t>
  </si>
  <si>
    <t>Minimum Prop Diameter to efficiently drive hull in all conditions</t>
  </si>
  <si>
    <t>If you see the "too small max prop dia" warning above, it means that the maximum prop diameter input by you</t>
  </si>
  <si>
    <t>on the "Input Data Here" sheet is too small. If this is the maximum size that will fit the hull then you</t>
  </si>
  <si>
    <r>
      <t xml:space="preserve">need to </t>
    </r>
    <r>
      <rPr>
        <b/>
        <sz val="10"/>
        <color indexed="10"/>
        <rFont val="Arial"/>
        <family val="2"/>
      </rPr>
      <t>carefully</t>
    </r>
    <r>
      <rPr>
        <sz val="10"/>
        <color indexed="10"/>
        <rFont val="Arial"/>
        <family val="2"/>
      </rPr>
      <t xml:space="preserve"> examine the hull, as there is apparently insufficient diameter available for a propeller</t>
    </r>
  </si>
  <si>
    <t>of appropriate size. Or you may need to reduce gearbox ratio to increase prop RPM.</t>
  </si>
  <si>
    <t>Speed in knots required</t>
  </si>
  <si>
    <t xml:space="preserve">Max prop shaft rpm </t>
  </si>
  <si>
    <t>desired speed expressed as feet per minute.</t>
  </si>
  <si>
    <t>desired speed divided by max prop shaft rpm to give prop feet per minute.</t>
  </si>
  <si>
    <r>
      <t>Theoretical</t>
    </r>
    <r>
      <rPr>
        <sz val="10"/>
        <rFont val="Arial"/>
        <family val="2"/>
      </rPr>
      <t xml:space="preserve"> required prop pitch in inches.</t>
    </r>
  </si>
  <si>
    <t>Estimated prop slip at required top speed.</t>
  </si>
  <si>
    <t>Wake Factor</t>
  </si>
  <si>
    <r>
      <t>Required</t>
    </r>
    <r>
      <rPr>
        <sz val="10"/>
        <rFont val="Arial"/>
        <family val="2"/>
      </rPr>
      <t xml:space="preserve"> prop pitch for top speed.</t>
    </r>
  </si>
  <si>
    <t>Bollard Thrust (approximate)</t>
  </si>
  <si>
    <t xml:space="preserve"> Maximum Static or Bollard thrust in pounds.</t>
  </si>
  <si>
    <t>Displacement Length Ratio.</t>
  </si>
  <si>
    <t>D/L = DispT / ( 0.01x LWL ) cubed</t>
  </si>
  <si>
    <t>Displacement in pounds</t>
  </si>
  <si>
    <t>Displacement in long tons</t>
  </si>
  <si>
    <t>LWL</t>
  </si>
  <si>
    <t>D/L Ratio</t>
  </si>
  <si>
    <t>Speed / Length vs. Displacement Length</t>
  </si>
  <si>
    <t>S/L = 8.26 / ( D/L exp 0.311)</t>
  </si>
  <si>
    <t>D/L</t>
  </si>
  <si>
    <t>S/L</t>
  </si>
  <si>
    <t>S/L ratio from max displacement and SHP</t>
  </si>
  <si>
    <r>
      <t>True</t>
    </r>
    <r>
      <rPr>
        <sz val="10"/>
        <rFont val="Arial"/>
        <family val="2"/>
      </rPr>
      <t xml:space="preserve"> S/L ratio from LWL</t>
    </r>
  </si>
  <si>
    <t>These three S/L figures should be of "comparable magnitude".</t>
  </si>
  <si>
    <t>average of all three S/L figures</t>
  </si>
  <si>
    <t>average deviation of all three S/L figures</t>
  </si>
  <si>
    <t>If figures are out of limits some input data, i.e. number of motors, BHP or LWL is wrong or mismatched.</t>
  </si>
  <si>
    <t>Look at the S/L that is mis-matched in magnitude, and what it is calculated from to determine the error.</t>
  </si>
  <si>
    <r>
      <t xml:space="preserve">Planing Speed </t>
    </r>
    <r>
      <rPr>
        <u val="single"/>
        <sz val="12"/>
        <color indexed="12"/>
        <rFont val="Arial"/>
        <family val="2"/>
      </rPr>
      <t>(from Crouch's Formula)</t>
    </r>
  </si>
  <si>
    <t>Kts = c / square root ( max disp / SHP )</t>
  </si>
  <si>
    <t>max Disp lb</t>
  </si>
  <si>
    <t>SHP</t>
  </si>
  <si>
    <t>Knots (max planing)</t>
  </si>
  <si>
    <t>Projected Blade Area &amp; Developed Blade Area</t>
  </si>
  <si>
    <t>Formulae</t>
  </si>
  <si>
    <t>Ap/Ad = 1.0125 - ( 0.1 x Pitch ratio ) - ( 0.0625 x ( Pitch ratio squared )</t>
  </si>
  <si>
    <t>Developed blade area required</t>
  </si>
  <si>
    <t>Pitch ratio (P/D)</t>
  </si>
  <si>
    <t>PBA : DBA ratio.</t>
  </si>
  <si>
    <t>True blade area sq/in</t>
  </si>
  <si>
    <t>Projected blade area is the "apparent" area as seen from end on.</t>
  </si>
  <si>
    <t>Developed blade are is the true blade area.</t>
  </si>
  <si>
    <t>Mean Width Ratio &amp; Disc Area Ratio</t>
  </si>
  <si>
    <t>MWR = average blade width / diameter</t>
  </si>
  <si>
    <t>DAR = ( Pi x (diameter squared)) / 4</t>
  </si>
  <si>
    <t>Disc area ratio.</t>
  </si>
  <si>
    <t>Ideal prop</t>
  </si>
  <si>
    <t>Dia to fit prop</t>
  </si>
  <si>
    <t>selected</t>
  </si>
  <si>
    <t>"standard" DAR</t>
  </si>
  <si>
    <t>max input prop dia</t>
  </si>
  <si>
    <t>sq/in blade area reqd</t>
  </si>
  <si>
    <t xml:space="preserve"> sq/in blade area</t>
  </si>
  <si>
    <t>DAR reqd for dia</t>
  </si>
  <si>
    <t>Mean width ratio</t>
  </si>
  <si>
    <t># blades</t>
  </si>
  <si>
    <t>MWR</t>
  </si>
  <si>
    <t>ideal prop av blade width</t>
  </si>
  <si>
    <t>"to fit" prop av blade width</t>
  </si>
  <si>
    <t>Block Coefficient</t>
  </si>
  <si>
    <t>How to</t>
  </si>
  <si>
    <t>Cb = disp / ( LWL x BWL x Hd x 64)</t>
  </si>
  <si>
    <t>Max Displacement (pounds)</t>
  </si>
  <si>
    <t>LWL (feet)</t>
  </si>
  <si>
    <t>Beam waterline (feet)</t>
  </si>
  <si>
    <t>Hull draft (excluding keel or deadwood)(feet)</t>
  </si>
  <si>
    <t>Wf = Q1 - ( Q2 x Block Coefficient )</t>
  </si>
  <si>
    <t>Q1</t>
  </si>
  <si>
    <t>Q2</t>
  </si>
  <si>
    <t>Prop Shaft Material</t>
  </si>
  <si>
    <t>Material</t>
  </si>
  <si>
    <t>Yield / TS (psi)</t>
  </si>
  <si>
    <t>Mod Elas (psi)</t>
  </si>
  <si>
    <t>Density (lb/cu.in)</t>
  </si>
  <si>
    <t>Aquamet 22</t>
  </si>
  <si>
    <t>Aquamet 18</t>
  </si>
  <si>
    <t>Aquamet 17</t>
  </si>
  <si>
    <t>Monel 400</t>
  </si>
  <si>
    <t>Monel K500</t>
  </si>
  <si>
    <t>Tobin Bronze</t>
  </si>
  <si>
    <t>Inox 304 (Stainless)</t>
  </si>
  <si>
    <t>Enter material no 1-7</t>
  </si>
  <si>
    <t xml:space="preserve"> Selected material Yield strength PSI</t>
  </si>
  <si>
    <t xml:space="preserve"> Selected material density</t>
  </si>
  <si>
    <t xml:space="preserve"> Selected material elasticity</t>
  </si>
  <si>
    <t>Tobin Bronze has become an unfashionable material for propshafts lately, and preference given to "stainless"</t>
  </si>
  <si>
    <t xml:space="preserve">steels. This is unfortunate, since these steels are far more brittle and prone to shear, though these properties </t>
  </si>
  <si>
    <t>are useful in long shafts driven by powerful motors. However a stainless shaft carrying a bronze prop</t>
  </si>
  <si>
    <r>
      <t xml:space="preserve">is a source of galvanic corrosion. </t>
    </r>
    <r>
      <rPr>
        <b/>
        <sz val="10"/>
        <color indexed="12"/>
        <rFont val="Arial"/>
        <family val="2"/>
      </rPr>
      <t>NEVER</t>
    </r>
    <r>
      <rPr>
        <sz val="10"/>
        <color indexed="12"/>
        <rFont val="Arial"/>
        <family val="2"/>
      </rPr>
      <t xml:space="preserve"> under-specify propshaft or thrust bearing equipment. At best</t>
    </r>
  </si>
  <si>
    <t>you may shear the shaft and lose all power, at worst you have a hole below waterline of propshaft diameter.</t>
  </si>
  <si>
    <t>Prop Shaft Diameter.</t>
  </si>
  <si>
    <t xml:space="preserve">A reasonably accurate and reliable rule of thumb states that propshaft diameter should be </t>
  </si>
  <si>
    <t>one fourteenth of propeller diameter.</t>
  </si>
  <si>
    <t>D = cube root ( ( 321,000 x SHP x SF ) / ( St x RPM ) )</t>
  </si>
  <si>
    <t>Shaft Horsepower</t>
  </si>
  <si>
    <t>INPUT &gt; &gt; &gt;</t>
  </si>
  <si>
    <t>Safety Factor (3 for yachts, 5 - 8 for commercial / racing)</t>
  </si>
  <si>
    <t>Torsional Shear</t>
  </si>
  <si>
    <t>Shaft RPM</t>
  </si>
  <si>
    <t>prop diameter</t>
  </si>
  <si>
    <t>Shaft dia in inches + eighths</t>
  </si>
  <si>
    <t>one fourteenth</t>
  </si>
  <si>
    <t>average</t>
  </si>
  <si>
    <t>Prop Shaft Bearing Spacing</t>
  </si>
  <si>
    <t>Ft = square root ( ( 3.21 x D ) / RPM ) x 4th root ( E / density )</t>
  </si>
  <si>
    <t>Shaft Dia</t>
  </si>
  <si>
    <t>E (modulus elasticity)</t>
  </si>
  <si>
    <t>Density</t>
  </si>
  <si>
    <t>Bearing Spacing in feet</t>
  </si>
  <si>
    <t>Propeller Weight (estimated)</t>
  </si>
  <si>
    <r>
      <t xml:space="preserve">Weights given in </t>
    </r>
    <r>
      <rPr>
        <b/>
        <u val="single"/>
        <sz val="10"/>
        <color indexed="10"/>
        <rFont val="Arial"/>
        <family val="2"/>
      </rPr>
      <t>pounds</t>
    </r>
    <r>
      <rPr>
        <b/>
        <sz val="10"/>
        <color indexed="10"/>
        <rFont val="Arial"/>
        <family val="2"/>
      </rPr>
      <t>. Answer must be treated as spproximate + or - 8%</t>
    </r>
  </si>
  <si>
    <t>Prop diameter in inches</t>
  </si>
  <si>
    <t>Weight of three bladed prop</t>
  </si>
  <si>
    <t>Weight of four bladed prop</t>
  </si>
  <si>
    <t>Based on standard bronze prop 0.33 DAR</t>
  </si>
  <si>
    <r>
      <t xml:space="preserve">This is an automatic calculation for </t>
    </r>
    <r>
      <rPr>
        <b/>
        <sz val="10"/>
        <color indexed="10"/>
        <rFont val="Arial"/>
        <family val="2"/>
      </rPr>
      <t>3 BLADE</t>
    </r>
    <r>
      <rPr>
        <sz val="10"/>
        <color indexed="10"/>
        <rFont val="Arial"/>
        <family val="2"/>
      </rPr>
      <t xml:space="preserve"> prop from shaft horsepower and rpm at prop on Torque sheet.</t>
    </r>
  </si>
  <si>
    <t>Propeller Diameter in inches.</t>
  </si>
  <si>
    <t xml:space="preserve">   The alternatives in light blue squares</t>
  </si>
  <si>
    <t>Propeller Pitch in inches.</t>
  </si>
  <si>
    <t>max input dia</t>
  </si>
  <si>
    <t>0.33 disc area ratio blades. (This means 33% of the "disc" area of prop dia is blades)</t>
  </si>
  <si>
    <t>Rules of thumb.</t>
  </si>
  <si>
    <t xml:space="preserve">One inch diameter = 2.5 inches of pitch. </t>
  </si>
  <si>
    <t>Two inches extra pitch will cut engine rpm by 450.</t>
  </si>
  <si>
    <t>If you can't fit the indicated diameter due to clearance, or have plenty room left, the rules</t>
  </si>
  <si>
    <t xml:space="preserve">of thumb above will be a useful guide. </t>
  </si>
  <si>
    <t>If you find yourself way off, you have either entered bad data or have a badly configured vessel!</t>
  </si>
  <si>
    <t>Two blade propeller.</t>
  </si>
  <si>
    <t>33% DAR</t>
  </si>
  <si>
    <t>diameter in inches.</t>
  </si>
  <si>
    <t>pitch in inches.</t>
  </si>
  <si>
    <t>Four blade propeller.</t>
  </si>
  <si>
    <t>Propeller HP</t>
  </si>
  <si>
    <t>PHP = C x (RPM exp N)</t>
  </si>
  <si>
    <t>C = sum matching constant</t>
  </si>
  <si>
    <t>N = 3.0 for heavy/slow, 2.7 normal, 2.2 ducted props.</t>
  </si>
  <si>
    <t>C</t>
  </si>
  <si>
    <t>max RPM</t>
  </si>
  <si>
    <t>N</t>
  </si>
  <si>
    <t>RPM exp N</t>
  </si>
  <si>
    <t>Prop HP</t>
  </si>
  <si>
    <t>Note that this is of use only in producing charts for easy visualisation of</t>
  </si>
  <si>
    <t>engine / propeller power curves. As can be seen from the formula it is based on the</t>
  </si>
  <si>
    <t>relationships between shaft RPM, type of propeller installation and a theoretical</t>
  </si>
  <si>
    <t>constant.</t>
  </si>
  <si>
    <t>It takes no account whatsoever of hull type etc.</t>
  </si>
  <si>
    <t>It should only be used for creating charts</t>
  </si>
  <si>
    <t>Analysis Pitch</t>
  </si>
  <si>
    <t>P (feet) = (101.33 x Va) / Na</t>
  </si>
  <si>
    <t>Va  = speed in knots through wake at zero thrust</t>
  </si>
  <si>
    <t>Na = shaft RPM at zero thrust</t>
  </si>
  <si>
    <t>zero thrust means knots and RPM at which thrust = zero</t>
  </si>
  <si>
    <t>Almost NEVER quoted by manufacturers as blade thickness, pattern and width all have</t>
  </si>
  <si>
    <t>a marked effect, so two props that appear identical but have different blade thicknesses</t>
  </si>
  <si>
    <t>actually have different pitch.</t>
  </si>
  <si>
    <t>Face pitch is measured 70% of the radius out from the axis of rotation.</t>
  </si>
  <si>
    <t>Metric to Imperial Conversion</t>
  </si>
  <si>
    <t>metres</t>
  </si>
  <si>
    <t>feet</t>
  </si>
  <si>
    <t>1 Nautical Mile = 1.151 Miles</t>
  </si>
  <si>
    <t>kilogrammes</t>
  </si>
  <si>
    <t>pounds</t>
  </si>
  <si>
    <t>1 Mile = 5280 feet</t>
  </si>
  <si>
    <t>kg/m (torque)</t>
  </si>
  <si>
    <t>ft/lb</t>
  </si>
  <si>
    <t>I Ton = 2240 pounds</t>
  </si>
  <si>
    <t>Kw (power)</t>
  </si>
  <si>
    <t>BHP</t>
  </si>
  <si>
    <t>1 Cubic Foot seawater = 64 lbs</t>
  </si>
  <si>
    <t>Cubic metres</t>
  </si>
  <si>
    <t>cubic feet</t>
  </si>
  <si>
    <t>kg/cm2</t>
  </si>
  <si>
    <t>p.s.i.</t>
  </si>
  <si>
    <t>km/h</t>
  </si>
  <si>
    <t>f.p.s.</t>
  </si>
  <si>
    <t xml:space="preserve"> = Pi</t>
  </si>
  <si>
    <t>Input Number</t>
  </si>
  <si>
    <t>A handy way to 0.3 lb as oz.</t>
  </si>
  <si>
    <t>Input #1</t>
  </si>
  <si>
    <t>Number Base</t>
  </si>
  <si>
    <t>Input #2</t>
  </si>
  <si>
    <t>Squared</t>
  </si>
  <si>
    <t>Decimal</t>
  </si>
  <si>
    <t>Cubed</t>
  </si>
  <si>
    <t>Number</t>
  </si>
  <si>
    <t xml:space="preserve">#1 x #2 = </t>
  </si>
  <si>
    <t>Square root</t>
  </si>
  <si>
    <t>Fraction to decimal</t>
  </si>
  <si>
    <t xml:space="preserve">#1 / #2 = </t>
  </si>
  <si>
    <t>Cube root</t>
  </si>
  <si>
    <t xml:space="preserve">#1 + #2 = </t>
  </si>
  <si>
    <t>=</t>
  </si>
  <si>
    <t xml:space="preserve">#1 - #2 = </t>
  </si>
  <si>
    <t>Input Exponent</t>
  </si>
  <si>
    <t>Result</t>
  </si>
  <si>
    <r>
      <t xml:space="preserve">Input Data into the </t>
    </r>
    <r>
      <rPr>
        <b/>
        <u val="single"/>
        <sz val="10"/>
        <color indexed="57"/>
        <rFont val="Arial"/>
        <family val="2"/>
      </rPr>
      <t>GREEN</t>
    </r>
    <r>
      <rPr>
        <b/>
        <u val="single"/>
        <sz val="10"/>
        <color indexed="10"/>
        <rFont val="Arial"/>
        <family val="2"/>
      </rPr>
      <t xml:space="preserve"> squares ONLY!</t>
    </r>
  </si>
  <si>
    <t>This will calculate the Displacement Speed Formula for the hull.</t>
  </si>
  <si>
    <t>Speed:Length Ratio up to 1.6=displacement, from 1.6 to 2.8=semi-displacement, over 2.8=planing.</t>
  </si>
  <si>
    <r>
      <t>Maximum</t>
    </r>
    <r>
      <rPr>
        <sz val="10"/>
        <rFont val="Arial"/>
        <family val="2"/>
      </rPr>
      <t xml:space="preserve"> Displacement of vessel in pounds.</t>
    </r>
  </si>
  <si>
    <t>Waterline Length of vessel in feet.</t>
  </si>
  <si>
    <t>Required maximum speed in knots.</t>
  </si>
  <si>
    <r>
      <t>Speed:Length Ratio</t>
    </r>
    <r>
      <rPr>
        <sz val="10"/>
        <rFont val="Arial"/>
        <family val="2"/>
      </rPr>
      <t>.</t>
    </r>
  </si>
  <si>
    <t>Suggested max practical displacement hull speed for LWL input ---&gt;</t>
  </si>
  <si>
    <t>Knots</t>
  </si>
  <si>
    <r>
      <t xml:space="preserve">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at propeller from "Torque &amp; Shaft Horsepower" sheet</t>
    </r>
  </si>
  <si>
    <r>
      <t xml:space="preserve">Pounds per 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(power/weight ratio)</t>
    </r>
  </si>
  <si>
    <r>
      <t>Shaft Horsepower</t>
    </r>
    <r>
      <rPr>
        <b/>
        <sz val="10"/>
        <rFont val="Arial"/>
        <family val="2"/>
      </rPr>
      <t xml:space="preserve"> required </t>
    </r>
    <r>
      <rPr>
        <sz val="10"/>
        <rFont val="Arial"/>
        <family val="2"/>
      </rPr>
      <t>at propeller</t>
    </r>
  </si>
  <si>
    <r>
      <t>Pounds per shaft horsepower</t>
    </r>
    <r>
      <rPr>
        <b/>
        <sz val="10"/>
        <rFont val="Arial"/>
        <family val="2"/>
      </rPr>
      <t xml:space="preserve"> required.</t>
    </r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</si>
</sst>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"/>
    <numFmt numFmtId="166" formatCode="#,##0"/>
    <numFmt numFmtId="167" formatCode="0.0"/>
    <numFmt numFmtId="168" formatCode="0.00"/>
    <numFmt numFmtId="169" formatCode="0%"/>
    <numFmt numFmtId="170" formatCode="#\ ?/8"/>
    <numFmt numFmtId="171" formatCode="# ?/?"/>
    <numFmt numFmtId="172" formatCode="0_ ;[RED]\-0\ "/>
    <numFmt numFmtId="173" formatCode="0.00%"/>
    <numFmt numFmtId="174" formatCode="0.000"/>
    <numFmt numFmtId="175" formatCode="#&quot; +&quot;??/12"/>
    <numFmt numFmtId="176" formatCode="0.00E+00"/>
    <numFmt numFmtId="177" formatCode="0.00000000000000"/>
    <numFmt numFmtId="178" formatCode="0.00000"/>
  </numFmts>
  <fonts count="34">
    <font>
      <sz val="10"/>
      <name val="Arial"/>
      <family val="2"/>
    </font>
    <font>
      <b/>
      <u val="single"/>
      <sz val="18"/>
      <color indexed="2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color indexed="52"/>
      <name val="Arial"/>
      <family val="2"/>
    </font>
    <font>
      <sz val="10"/>
      <color indexed="48"/>
      <name val="Arial"/>
      <family val="2"/>
    </font>
    <font>
      <sz val="10"/>
      <color indexed="25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57"/>
      <name val="Arial"/>
      <family val="2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20" applyNumberFormat="1" applyFont="1" applyFill="1" applyBorder="1" applyAlignment="1" applyProtection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3" fillId="0" borderId="0" xfId="20" applyNumberFormat="1" applyFill="1" applyBorder="1" applyAlignment="1" applyProtection="1">
      <alignment/>
      <protection/>
    </xf>
    <xf numFmtId="164" fontId="3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4" fillId="0" borderId="0" xfId="0" applyFont="1" applyAlignment="1">
      <alignment/>
    </xf>
    <xf numFmtId="164" fontId="12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0" fillId="0" borderId="0" xfId="0" applyFill="1" applyAlignment="1">
      <alignment/>
    </xf>
    <xf numFmtId="164" fontId="13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2" fillId="0" borderId="0" xfId="0" applyFont="1" applyAlignment="1">
      <alignment/>
    </xf>
    <xf numFmtId="164" fontId="19" fillId="0" borderId="0" xfId="0" applyFont="1" applyAlignment="1">
      <alignment/>
    </xf>
    <xf numFmtId="165" fontId="20" fillId="3" borderId="0" xfId="0" applyNumberFormat="1" applyFont="1" applyFill="1" applyAlignment="1">
      <alignment/>
    </xf>
    <xf numFmtId="166" fontId="20" fillId="3" borderId="0" xfId="0" applyNumberFormat="1" applyFont="1" applyFill="1" applyAlignment="1">
      <alignment/>
    </xf>
    <xf numFmtId="167" fontId="20" fillId="3" borderId="0" xfId="0" applyNumberFormat="1" applyFont="1" applyFill="1" applyAlignment="1">
      <alignment/>
    </xf>
    <xf numFmtId="164" fontId="20" fillId="3" borderId="0" xfId="0" applyFont="1" applyFill="1" applyAlignment="1">
      <alignment/>
    </xf>
    <xf numFmtId="164" fontId="21" fillId="0" borderId="0" xfId="0" applyFont="1" applyAlignment="1">
      <alignment/>
    </xf>
    <xf numFmtId="168" fontId="20" fillId="3" borderId="0" xfId="0" applyNumberFormat="1" applyFont="1" applyFill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5" fillId="0" borderId="0" xfId="0" applyFont="1" applyFill="1" applyAlignment="1">
      <alignment/>
    </xf>
    <xf numFmtId="165" fontId="5" fillId="5" borderId="0" xfId="0" applyNumberFormat="1" applyFont="1" applyFill="1" applyAlignment="1">
      <alignment horizontal="center"/>
    </xf>
    <xf numFmtId="164" fontId="0" fillId="0" borderId="0" xfId="0" applyFont="1" applyAlignment="1">
      <alignment horizontal="left"/>
    </xf>
    <xf numFmtId="167" fontId="5" fillId="5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/>
    </xf>
    <xf numFmtId="169" fontId="5" fillId="5" borderId="0" xfId="0" applyNumberFormat="1" applyFont="1" applyFill="1" applyAlignment="1">
      <alignment horizontal="center"/>
    </xf>
    <xf numFmtId="164" fontId="2" fillId="0" borderId="0" xfId="20" applyNumberFormat="1" applyFont="1" applyFill="1" applyBorder="1" applyAlignment="1" applyProtection="1">
      <alignment horizontal="right"/>
      <protection/>
    </xf>
    <xf numFmtId="164" fontId="5" fillId="5" borderId="0" xfId="0" applyFont="1" applyFill="1" applyAlignment="1">
      <alignment horizontal="center"/>
    </xf>
    <xf numFmtId="170" fontId="5" fillId="5" borderId="0" xfId="0" applyNumberFormat="1" applyFont="1" applyFill="1" applyAlignment="1">
      <alignment horizontal="center"/>
    </xf>
    <xf numFmtId="171" fontId="5" fillId="5" borderId="0" xfId="0" applyNumberFormat="1" applyFont="1" applyFill="1" applyAlignment="1">
      <alignment horizontal="center"/>
    </xf>
    <xf numFmtId="164" fontId="0" fillId="0" borderId="0" xfId="0" applyFont="1" applyAlignment="1">
      <alignment horizontal="right"/>
    </xf>
    <xf numFmtId="167" fontId="17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/>
    </xf>
    <xf numFmtId="164" fontId="5" fillId="2" borderId="4" xfId="0" applyFont="1" applyFill="1" applyBorder="1" applyAlignment="1">
      <alignment/>
    </xf>
    <xf numFmtId="164" fontId="5" fillId="2" borderId="5" xfId="0" applyFont="1" applyFill="1" applyBorder="1" applyAlignment="1">
      <alignment/>
    </xf>
    <xf numFmtId="164" fontId="5" fillId="2" borderId="6" xfId="0" applyFont="1" applyFill="1" applyBorder="1" applyAlignment="1">
      <alignment/>
    </xf>
    <xf numFmtId="164" fontId="17" fillId="2" borderId="5" xfId="0" applyFont="1" applyFill="1" applyBorder="1" applyAlignment="1">
      <alignment/>
    </xf>
    <xf numFmtId="164" fontId="17" fillId="2" borderId="6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22" fillId="2" borderId="6" xfId="0" applyFont="1" applyFill="1" applyBorder="1" applyAlignment="1">
      <alignment/>
    </xf>
    <xf numFmtId="165" fontId="16" fillId="4" borderId="0" xfId="0" applyNumberFormat="1" applyFont="1" applyFill="1" applyAlignment="1">
      <alignment/>
    </xf>
    <xf numFmtId="169" fontId="16" fillId="4" borderId="0" xfId="0" applyNumberFormat="1" applyFont="1" applyFill="1" applyAlignment="1">
      <alignment/>
    </xf>
    <xf numFmtId="170" fontId="16" fillId="4" borderId="0" xfId="0" applyNumberFormat="1" applyFont="1" applyFill="1" applyAlignment="1">
      <alignment/>
    </xf>
    <xf numFmtId="164" fontId="23" fillId="0" borderId="0" xfId="0" applyFont="1" applyAlignment="1">
      <alignment/>
    </xf>
    <xf numFmtId="164" fontId="23" fillId="0" borderId="2" xfId="0" applyFont="1" applyBorder="1" applyAlignment="1">
      <alignment/>
    </xf>
    <xf numFmtId="164" fontId="23" fillId="0" borderId="0" xfId="0" applyFont="1" applyBorder="1" applyAlignment="1">
      <alignment/>
    </xf>
    <xf numFmtId="164" fontId="24" fillId="0" borderId="0" xfId="0" applyFont="1" applyAlignment="1">
      <alignment/>
    </xf>
    <xf numFmtId="165" fontId="0" fillId="4" borderId="0" xfId="0" applyNumberFormat="1" applyFill="1" applyAlignment="1">
      <alignment/>
    </xf>
    <xf numFmtId="168" fontId="16" fillId="2" borderId="7" xfId="0" applyNumberFormat="1" applyFont="1" applyFill="1" applyBorder="1" applyAlignment="1">
      <alignment/>
    </xf>
    <xf numFmtId="168" fontId="0" fillId="4" borderId="0" xfId="0" applyNumberFormat="1" applyFill="1" applyAlignment="1">
      <alignment/>
    </xf>
    <xf numFmtId="165" fontId="16" fillId="5" borderId="7" xfId="0" applyNumberFormat="1" applyFont="1" applyFill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8" fontId="16" fillId="5" borderId="7" xfId="0" applyNumberFormat="1" applyFont="1" applyFill="1" applyBorder="1" applyAlignment="1">
      <alignment/>
    </xf>
    <xf numFmtId="168" fontId="0" fillId="5" borderId="0" xfId="0" applyNumberFormat="1" applyFont="1" applyFill="1" applyBorder="1" applyAlignment="1">
      <alignment/>
    </xf>
    <xf numFmtId="164" fontId="25" fillId="0" borderId="0" xfId="0" applyFont="1" applyAlignment="1">
      <alignment/>
    </xf>
    <xf numFmtId="164" fontId="0" fillId="0" borderId="11" xfId="0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16" fillId="2" borderId="7" xfId="0" applyNumberFormat="1" applyFont="1" applyFill="1" applyBorder="1" applyAlignment="1">
      <alignment/>
    </xf>
    <xf numFmtId="172" fontId="16" fillId="2" borderId="5" xfId="0" applyNumberFormat="1" applyFont="1" applyFill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17" fillId="2" borderId="4" xfId="0" applyFont="1" applyFill="1" applyBorder="1" applyAlignment="1">
      <alignment/>
    </xf>
    <xf numFmtId="164" fontId="5" fillId="2" borderId="6" xfId="0" applyFont="1" applyFill="1" applyBorder="1" applyAlignment="1">
      <alignment horizontal="right"/>
    </xf>
    <xf numFmtId="164" fontId="26" fillId="0" borderId="0" xfId="0" applyFont="1" applyAlignment="1">
      <alignment/>
    </xf>
    <xf numFmtId="173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8" xfId="0" applyNumberFormat="1" applyFill="1" applyBorder="1" applyAlignment="1">
      <alignment/>
    </xf>
    <xf numFmtId="168" fontId="0" fillId="5" borderId="0" xfId="0" applyNumberFormat="1" applyFill="1" applyAlignment="1">
      <alignment/>
    </xf>
    <xf numFmtId="164" fontId="0" fillId="0" borderId="9" xfId="0" applyFill="1" applyBorder="1" applyAlignment="1">
      <alignment/>
    </xf>
    <xf numFmtId="164" fontId="0" fillId="0" borderId="14" xfId="0" applyBorder="1" applyAlignment="1">
      <alignment/>
    </xf>
    <xf numFmtId="165" fontId="0" fillId="4" borderId="0" xfId="0" applyNumberFormat="1" applyFont="1" applyFill="1" applyAlignment="1">
      <alignment/>
    </xf>
    <xf numFmtId="164" fontId="5" fillId="2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16" fillId="5" borderId="0" xfId="0" applyNumberFormat="1" applyFont="1" applyFill="1" applyAlignment="1">
      <alignment/>
    </xf>
    <xf numFmtId="164" fontId="27" fillId="0" borderId="0" xfId="0" applyFont="1" applyAlignment="1">
      <alignment/>
    </xf>
    <xf numFmtId="167" fontId="0" fillId="4" borderId="0" xfId="0" applyNumberFormat="1" applyFill="1" applyAlignment="1">
      <alignment/>
    </xf>
    <xf numFmtId="165" fontId="16" fillId="2" borderId="0" xfId="0" applyNumberFormat="1" applyFont="1" applyFill="1" applyAlignment="1">
      <alignment/>
    </xf>
    <xf numFmtId="164" fontId="0" fillId="5" borderId="11" xfId="0" applyFill="1" applyBorder="1" applyAlignment="1">
      <alignment/>
    </xf>
    <xf numFmtId="164" fontId="28" fillId="0" borderId="10" xfId="0" applyFont="1" applyBorder="1" applyAlignment="1">
      <alignment/>
    </xf>
    <xf numFmtId="164" fontId="0" fillId="5" borderId="3" xfId="0" applyFill="1" applyBorder="1" applyAlignment="1">
      <alignment/>
    </xf>
    <xf numFmtId="164" fontId="28" fillId="0" borderId="1" xfId="0" applyFont="1" applyBorder="1" applyAlignment="1">
      <alignment/>
    </xf>
    <xf numFmtId="164" fontId="0" fillId="5" borderId="9" xfId="0" applyFill="1" applyBorder="1" applyAlignment="1">
      <alignment/>
    </xf>
    <xf numFmtId="164" fontId="28" fillId="0" borderId="14" xfId="0" applyFont="1" applyBorder="1" applyAlignment="1">
      <alignment/>
    </xf>
    <xf numFmtId="165" fontId="0" fillId="5" borderId="0" xfId="0" applyNumberFormat="1" applyFill="1" applyAlignment="1">
      <alignment/>
    </xf>
    <xf numFmtId="173" fontId="0" fillId="5" borderId="0" xfId="0" applyNumberFormat="1" applyFill="1" applyAlignment="1">
      <alignment/>
    </xf>
    <xf numFmtId="165" fontId="16" fillId="6" borderId="0" xfId="0" applyNumberFormat="1" applyFont="1" applyFill="1" applyAlignment="1">
      <alignment/>
    </xf>
    <xf numFmtId="166" fontId="0" fillId="4" borderId="0" xfId="0" applyNumberFormat="1" applyFill="1" applyAlignment="1">
      <alignment/>
    </xf>
    <xf numFmtId="168" fontId="0" fillId="5" borderId="15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4" borderId="4" xfId="0" applyNumberForma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8" fontId="16" fillId="4" borderId="4" xfId="0" applyNumberFormat="1" applyFont="1" applyFill="1" applyBorder="1" applyAlignment="1">
      <alignment/>
    </xf>
    <xf numFmtId="164" fontId="16" fillId="0" borderId="5" xfId="0" applyFont="1" applyBorder="1" applyAlignment="1">
      <alignment/>
    </xf>
    <xf numFmtId="168" fontId="0" fillId="0" borderId="11" xfId="0" applyNumberFormat="1" applyBorder="1" applyAlignment="1">
      <alignment/>
    </xf>
    <xf numFmtId="164" fontId="0" fillId="0" borderId="16" xfId="0" applyFont="1" applyBorder="1" applyAlignment="1">
      <alignment/>
    </xf>
    <xf numFmtId="168" fontId="0" fillId="0" borderId="3" xfId="0" applyNumberFormat="1" applyBorder="1" applyAlignment="1">
      <alignment/>
    </xf>
    <xf numFmtId="164" fontId="0" fillId="0" borderId="0" xfId="0" applyFont="1" applyBorder="1" applyAlignment="1">
      <alignment/>
    </xf>
    <xf numFmtId="164" fontId="5" fillId="2" borderId="2" xfId="0" applyFont="1" applyFill="1" applyBorder="1" applyAlignment="1">
      <alignment/>
    </xf>
    <xf numFmtId="164" fontId="17" fillId="2" borderId="2" xfId="0" applyFont="1" applyFill="1" applyBorder="1" applyAlignment="1">
      <alignment/>
    </xf>
    <xf numFmtId="164" fontId="0" fillId="2" borderId="2" xfId="0" applyFill="1" applyBorder="1" applyAlignment="1">
      <alignment/>
    </xf>
    <xf numFmtId="174" fontId="0" fillId="5" borderId="0" xfId="0" applyNumberFormat="1" applyFill="1" applyAlignment="1">
      <alignment/>
    </xf>
    <xf numFmtId="165" fontId="16" fillId="5" borderId="15" xfId="0" applyNumberFormat="1" applyFont="1" applyFill="1" applyBorder="1" applyAlignment="1">
      <alignment/>
    </xf>
    <xf numFmtId="169" fontId="0" fillId="4" borderId="0" xfId="0" applyNumberFormat="1" applyFill="1" applyAlignment="1">
      <alignment/>
    </xf>
    <xf numFmtId="165" fontId="16" fillId="2" borderId="17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/>
    </xf>
    <xf numFmtId="169" fontId="16" fillId="5" borderId="7" xfId="0" applyNumberFormat="1" applyFont="1" applyFill="1" applyBorder="1" applyAlignment="1">
      <alignment/>
    </xf>
    <xf numFmtId="169" fontId="16" fillId="2" borderId="17" xfId="0" applyNumberFormat="1" applyFont="1" applyFill="1" applyBorder="1" applyAlignment="1">
      <alignment/>
    </xf>
    <xf numFmtId="168" fontId="16" fillId="5" borderId="16" xfId="0" applyNumberFormat="1" applyFont="1" applyFill="1" applyBorder="1" applyAlignment="1">
      <alignment/>
    </xf>
    <xf numFmtId="170" fontId="16" fillId="5" borderId="15" xfId="0" applyNumberFormat="1" applyFont="1" applyFill="1" applyBorder="1" applyAlignment="1">
      <alignment/>
    </xf>
    <xf numFmtId="165" fontId="5" fillId="0" borderId="11" xfId="0" applyNumberFormat="1" applyFont="1" applyBorder="1" applyAlignment="1">
      <alignment horizontal="center"/>
    </xf>
    <xf numFmtId="164" fontId="23" fillId="0" borderId="16" xfId="0" applyFont="1" applyBorder="1" applyAlignment="1">
      <alignment/>
    </xf>
    <xf numFmtId="166" fontId="0" fillId="5" borderId="16" xfId="0" applyNumberFormat="1" applyFont="1" applyFill="1" applyBorder="1" applyAlignment="1">
      <alignment/>
    </xf>
    <xf numFmtId="165" fontId="30" fillId="0" borderId="16" xfId="0" applyNumberFormat="1" applyFont="1" applyBorder="1" applyAlignment="1">
      <alignment horizontal="center"/>
    </xf>
    <xf numFmtId="166" fontId="0" fillId="5" borderId="16" xfId="0" applyNumberFormat="1" applyFill="1" applyBorder="1" applyAlignment="1">
      <alignment/>
    </xf>
    <xf numFmtId="166" fontId="30" fillId="0" borderId="16" xfId="0" applyNumberFormat="1" applyFont="1" applyBorder="1" applyAlignment="1">
      <alignment/>
    </xf>
    <xf numFmtId="174" fontId="0" fillId="5" borderId="16" xfId="0" applyNumberFormat="1" applyFill="1" applyBorder="1" applyAlignment="1">
      <alignment/>
    </xf>
    <xf numFmtId="164" fontId="30" fillId="0" borderId="10" xfId="0" applyFont="1" applyBorder="1" applyAlignment="1">
      <alignment/>
    </xf>
    <xf numFmtId="165" fontId="5" fillId="0" borderId="3" xfId="0" applyNumberFormat="1" applyFont="1" applyBorder="1" applyAlignment="1">
      <alignment horizontal="center"/>
    </xf>
    <xf numFmtId="166" fontId="0" fillId="5" borderId="0" xfId="0" applyNumberFormat="1" applyFont="1" applyFill="1" applyBorder="1" applyAlignment="1">
      <alignment/>
    </xf>
    <xf numFmtId="165" fontId="30" fillId="0" borderId="0" xfId="0" applyNumberFormat="1" applyFont="1" applyBorder="1" applyAlignment="1">
      <alignment horizontal="center"/>
    </xf>
    <xf numFmtId="166" fontId="0" fillId="5" borderId="0" xfId="0" applyNumberFormat="1" applyFill="1" applyBorder="1" applyAlignment="1">
      <alignment/>
    </xf>
    <xf numFmtId="166" fontId="30" fillId="0" borderId="0" xfId="0" applyNumberFormat="1" applyFont="1" applyBorder="1" applyAlignment="1">
      <alignment/>
    </xf>
    <xf numFmtId="174" fontId="0" fillId="5" borderId="0" xfId="0" applyNumberFormat="1" applyFill="1" applyBorder="1" applyAlignment="1">
      <alignment/>
    </xf>
    <xf numFmtId="164" fontId="30" fillId="0" borderId="1" xfId="0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6" fontId="0" fillId="5" borderId="2" xfId="0" applyNumberFormat="1" applyFont="1" applyFill="1" applyBorder="1" applyAlignment="1">
      <alignment/>
    </xf>
    <xf numFmtId="165" fontId="30" fillId="0" borderId="2" xfId="0" applyNumberFormat="1" applyFont="1" applyBorder="1" applyAlignment="1">
      <alignment horizontal="center"/>
    </xf>
    <xf numFmtId="166" fontId="0" fillId="5" borderId="2" xfId="0" applyNumberFormat="1" applyFill="1" applyBorder="1" applyAlignment="1">
      <alignment/>
    </xf>
    <xf numFmtId="166" fontId="30" fillId="0" borderId="2" xfId="0" applyNumberFormat="1" applyFont="1" applyBorder="1" applyAlignment="1">
      <alignment/>
    </xf>
    <xf numFmtId="174" fontId="0" fillId="5" borderId="2" xfId="0" applyNumberFormat="1" applyFill="1" applyBorder="1" applyAlignment="1">
      <alignment/>
    </xf>
    <xf numFmtId="164" fontId="30" fillId="0" borderId="14" xfId="0" applyFont="1" applyBorder="1" applyAlignment="1">
      <alignment/>
    </xf>
    <xf numFmtId="174" fontId="0" fillId="0" borderId="0" xfId="0" applyNumberFormat="1" applyFont="1" applyAlignment="1">
      <alignment/>
    </xf>
    <xf numFmtId="164" fontId="16" fillId="5" borderId="0" xfId="0" applyFont="1" applyFill="1" applyAlignment="1">
      <alignment/>
    </xf>
    <xf numFmtId="166" fontId="16" fillId="5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5" fontId="0" fillId="4" borderId="11" xfId="0" applyNumberFormat="1" applyFill="1" applyBorder="1" applyAlignment="1">
      <alignment/>
    </xf>
    <xf numFmtId="170" fontId="16" fillId="5" borderId="7" xfId="0" applyNumberFormat="1" applyFont="1" applyFill="1" applyBorder="1" applyAlignment="1">
      <alignment/>
    </xf>
    <xf numFmtId="170" fontId="0" fillId="5" borderId="9" xfId="0" applyNumberFormat="1" applyFill="1" applyBorder="1" applyAlignment="1">
      <alignment/>
    </xf>
    <xf numFmtId="170" fontId="0" fillId="5" borderId="4" xfId="0" applyNumberFormat="1" applyFill="1" applyBorder="1" applyAlignment="1">
      <alignment/>
    </xf>
    <xf numFmtId="170" fontId="0" fillId="4" borderId="0" xfId="0" applyNumberFormat="1" applyFill="1" applyAlignment="1">
      <alignment/>
    </xf>
    <xf numFmtId="175" fontId="16" fillId="5" borderId="7" xfId="0" applyNumberFormat="1" applyFont="1" applyFill="1" applyBorder="1" applyAlignment="1">
      <alignment/>
    </xf>
    <xf numFmtId="167" fontId="16" fillId="4" borderId="0" xfId="0" applyNumberFormat="1" applyFont="1" applyFill="1" applyAlignment="1">
      <alignment/>
    </xf>
    <xf numFmtId="167" fontId="15" fillId="2" borderId="11" xfId="0" applyNumberFormat="1" applyFont="1" applyFill="1" applyBorder="1" applyAlignment="1">
      <alignment/>
    </xf>
    <xf numFmtId="164" fontId="0" fillId="7" borderId="16" xfId="0" applyFill="1" applyBorder="1" applyAlignment="1">
      <alignment/>
    </xf>
    <xf numFmtId="167" fontId="8" fillId="2" borderId="16" xfId="0" applyNumberFormat="1" applyFont="1" applyFill="1" applyBorder="1" applyAlignment="1">
      <alignment/>
    </xf>
    <xf numFmtId="165" fontId="8" fillId="2" borderId="10" xfId="0" applyNumberFormat="1" applyFont="1" applyFill="1" applyBorder="1" applyAlignment="1">
      <alignment/>
    </xf>
    <xf numFmtId="164" fontId="31" fillId="7" borderId="3" xfId="0" applyFont="1" applyFill="1" applyBorder="1" applyAlignment="1">
      <alignment horizontal="left"/>
    </xf>
    <xf numFmtId="164" fontId="0" fillId="7" borderId="0" xfId="0" applyFill="1" applyBorder="1" applyAlignment="1">
      <alignment/>
    </xf>
    <xf numFmtId="164" fontId="0" fillId="7" borderId="1" xfId="0" applyFill="1" applyBorder="1" applyAlignment="1">
      <alignment/>
    </xf>
    <xf numFmtId="167" fontId="15" fillId="2" borderId="9" xfId="0" applyNumberFormat="1" applyFont="1" applyFill="1" applyBorder="1" applyAlignment="1">
      <alignment/>
    </xf>
    <xf numFmtId="164" fontId="0" fillId="7" borderId="2" xfId="0" applyFill="1" applyBorder="1" applyAlignment="1">
      <alignment/>
    </xf>
    <xf numFmtId="167" fontId="8" fillId="2" borderId="2" xfId="0" applyNumberFormat="1" applyFont="1" applyFill="1" applyBorder="1" applyAlignment="1">
      <alignment/>
    </xf>
    <xf numFmtId="165" fontId="8" fillId="2" borderId="14" xfId="0" applyNumberFormat="1" applyFont="1" applyFill="1" applyBorder="1" applyAlignment="1">
      <alignment/>
    </xf>
    <xf numFmtId="165" fontId="16" fillId="4" borderId="4" xfId="0" applyNumberFormat="1" applyFont="1" applyFill="1" applyBorder="1" applyAlignment="1">
      <alignment/>
    </xf>
    <xf numFmtId="165" fontId="26" fillId="0" borderId="0" xfId="0" applyNumberFormat="1" applyFont="1" applyFill="1" applyAlignment="1">
      <alignment/>
    </xf>
    <xf numFmtId="164" fontId="15" fillId="0" borderId="4" xfId="0" applyFont="1" applyBorder="1" applyAlignment="1">
      <alignment/>
    </xf>
    <xf numFmtId="165" fontId="0" fillId="2" borderId="0" xfId="0" applyNumberFormat="1" applyFill="1" applyAlignment="1">
      <alignment/>
    </xf>
    <xf numFmtId="176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76" fontId="0" fillId="4" borderId="0" xfId="0" applyNumberFormat="1" applyFill="1" applyAlignment="1">
      <alignment/>
    </xf>
    <xf numFmtId="168" fontId="0" fillId="3" borderId="18" xfId="0" applyNumberFormat="1" applyFill="1" applyBorder="1" applyAlignment="1">
      <alignment/>
    </xf>
    <xf numFmtId="164" fontId="0" fillId="0" borderId="19" xfId="0" applyFont="1" applyBorder="1" applyAlignment="1">
      <alignment horizontal="left" indent="1"/>
    </xf>
    <xf numFmtId="164" fontId="0" fillId="0" borderId="19" xfId="0" applyBorder="1" applyAlignment="1">
      <alignment/>
    </xf>
    <xf numFmtId="168" fontId="0" fillId="5" borderId="19" xfId="0" applyNumberFormat="1" applyFill="1" applyBorder="1" applyAlignment="1">
      <alignment/>
    </xf>
    <xf numFmtId="164" fontId="0" fillId="0" borderId="20" xfId="0" applyBorder="1" applyAlignment="1">
      <alignment/>
    </xf>
    <xf numFmtId="164" fontId="0" fillId="0" borderId="18" xfId="0" applyFont="1" applyBorder="1" applyAlignment="1">
      <alignment/>
    </xf>
    <xf numFmtId="168" fontId="0" fillId="3" borderId="21" xfId="0" applyNumberFormat="1" applyFill="1" applyBorder="1" applyAlignment="1">
      <alignment/>
    </xf>
    <xf numFmtId="164" fontId="0" fillId="0" borderId="0" xfId="0" applyFont="1" applyBorder="1" applyAlignment="1">
      <alignment horizontal="left" indent="1"/>
    </xf>
    <xf numFmtId="168" fontId="0" fillId="5" borderId="0" xfId="0" applyNumberFormat="1" applyFill="1" applyBorder="1" applyAlignment="1">
      <alignment/>
    </xf>
    <xf numFmtId="164" fontId="0" fillId="0" borderId="22" xfId="0" applyBorder="1" applyAlignment="1">
      <alignment/>
    </xf>
    <xf numFmtId="164" fontId="0" fillId="0" borderId="21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Border="1" applyAlignment="1">
      <alignment/>
    </xf>
    <xf numFmtId="168" fontId="0" fillId="3" borderId="23" xfId="0" applyNumberFormat="1" applyFill="1" applyBorder="1" applyAlignment="1">
      <alignment/>
    </xf>
    <xf numFmtId="164" fontId="0" fillId="0" borderId="25" xfId="0" applyFont="1" applyBorder="1" applyAlignment="1">
      <alignment horizontal="left" indent="1"/>
    </xf>
    <xf numFmtId="164" fontId="0" fillId="0" borderId="25" xfId="0" applyBorder="1" applyAlignment="1">
      <alignment/>
    </xf>
    <xf numFmtId="168" fontId="0" fillId="5" borderId="25" xfId="0" applyNumberFormat="1" applyFill="1" applyBorder="1" applyAlignment="1">
      <alignment/>
    </xf>
    <xf numFmtId="177" fontId="0" fillId="0" borderId="26" xfId="0" applyNumberFormat="1" applyBorder="1" applyAlignment="1">
      <alignment/>
    </xf>
    <xf numFmtId="164" fontId="0" fillId="0" borderId="27" xfId="0" applyFont="1" applyBorder="1" applyAlignment="1">
      <alignment/>
    </xf>
    <xf numFmtId="174" fontId="0" fillId="3" borderId="18" xfId="0" applyNumberFormat="1" applyFill="1" applyBorder="1" applyAlignment="1">
      <alignment/>
    </xf>
    <xf numFmtId="164" fontId="0" fillId="0" borderId="18" xfId="0" applyFont="1" applyBorder="1" applyAlignment="1">
      <alignment horizontal="right"/>
    </xf>
    <xf numFmtId="168" fontId="0" fillId="3" borderId="20" xfId="0" applyNumberFormat="1" applyFill="1" applyBorder="1" applyAlignment="1">
      <alignment/>
    </xf>
    <xf numFmtId="165" fontId="0" fillId="3" borderId="21" xfId="0" applyNumberFormat="1" applyFill="1" applyBorder="1" applyAlignment="1">
      <alignment/>
    </xf>
    <xf numFmtId="164" fontId="0" fillId="0" borderId="21" xfId="0" applyFont="1" applyBorder="1" applyAlignment="1">
      <alignment horizontal="right"/>
    </xf>
    <xf numFmtId="168" fontId="0" fillId="3" borderId="22" xfId="0" applyNumberFormat="1" applyFill="1" applyBorder="1" applyAlignment="1">
      <alignment/>
    </xf>
    <xf numFmtId="174" fontId="0" fillId="5" borderId="21" xfId="0" applyNumberFormat="1" applyFill="1" applyBorder="1" applyAlignment="1">
      <alignment/>
    </xf>
    <xf numFmtId="174" fontId="0" fillId="3" borderId="21" xfId="0" applyNumberFormat="1" applyFill="1" applyBorder="1" applyAlignment="1">
      <alignment/>
    </xf>
    <xf numFmtId="165" fontId="0" fillId="5" borderId="23" xfId="0" applyNumberFormat="1" applyFill="1" applyBorder="1" applyAlignment="1">
      <alignment/>
    </xf>
    <xf numFmtId="174" fontId="0" fillId="5" borderId="22" xfId="0" applyNumberFormat="1" applyFill="1" applyBorder="1" applyAlignment="1">
      <alignment/>
    </xf>
    <xf numFmtId="165" fontId="0" fillId="3" borderId="23" xfId="0" applyNumberFormat="1" applyFill="1" applyBorder="1" applyAlignment="1">
      <alignment/>
    </xf>
    <xf numFmtId="164" fontId="0" fillId="0" borderId="25" xfId="0" applyFont="1" applyBorder="1" applyAlignment="1">
      <alignment horizontal="center"/>
    </xf>
    <xf numFmtId="178" fontId="0" fillId="5" borderId="24" xfId="0" applyNumberFormat="1" applyFill="1" applyBorder="1" applyAlignment="1">
      <alignment/>
    </xf>
    <xf numFmtId="164" fontId="0" fillId="0" borderId="23" xfId="0" applyFont="1" applyBorder="1" applyAlignment="1">
      <alignment horizontal="right"/>
    </xf>
    <xf numFmtId="174" fontId="0" fillId="5" borderId="24" xfId="0" applyNumberFormat="1" applyFill="1" applyBorder="1" applyAlignment="1">
      <alignment/>
    </xf>
    <xf numFmtId="174" fontId="0" fillId="5" borderId="23" xfId="0" applyNumberFormat="1" applyFill="1" applyBorder="1" applyAlignment="1">
      <alignment/>
    </xf>
    <xf numFmtId="164" fontId="33" fillId="0" borderId="0" xfId="0" applyFont="1" applyAlignment="1">
      <alignment/>
    </xf>
    <xf numFmtId="174" fontId="16" fillId="5" borderId="7" xfId="0" applyNumberFormat="1" applyFont="1" applyFill="1" applyBorder="1" applyAlignment="1">
      <alignment/>
    </xf>
    <xf numFmtId="174" fontId="16" fillId="0" borderId="0" xfId="0" applyNumberFormat="1" applyFont="1" applyFill="1" applyBorder="1" applyAlignment="1">
      <alignment/>
    </xf>
    <xf numFmtId="165" fontId="16" fillId="5" borderId="16" xfId="0" applyNumberFormat="1" applyFont="1" applyFill="1" applyBorder="1" applyAlignment="1">
      <alignment/>
    </xf>
    <xf numFmtId="166" fontId="16" fillId="5" borderId="28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baud.co.uk/surfbaud/wave/" TargetMode="External" /><Relationship Id="rId2" Type="http://schemas.openxmlformats.org/officeDocument/2006/relationships/hyperlink" Target="mailto:jb@surfbaud.co.uk?subject=%22Propeller%20Sheet%20V1.04%2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17"/>
  <sheetViews>
    <sheetView showGridLines="0" workbookViewId="0" topLeftCell="A2">
      <selection activeCell="E25" sqref="E25"/>
    </sheetView>
  </sheetViews>
  <sheetFormatPr defaultColWidth="9.140625" defaultRowHeight="12.75"/>
  <sheetData>
    <row r="2" ht="23.25">
      <c r="B2" s="1" t="s">
        <v>0</v>
      </c>
    </row>
    <row r="4" spans="3:7" ht="15.75">
      <c r="C4" s="2" t="s">
        <v>1</v>
      </c>
      <c r="E4" s="3" t="s">
        <v>2</v>
      </c>
      <c r="G4" s="2" t="s">
        <v>3</v>
      </c>
    </row>
    <row r="6" ht="12.75">
      <c r="B6" s="4" t="s">
        <v>4</v>
      </c>
    </row>
    <row r="7" ht="12.75">
      <c r="B7" s="4"/>
    </row>
    <row r="8" ht="12.75">
      <c r="B8" s="5" t="s">
        <v>5</v>
      </c>
    </row>
    <row r="11" ht="12.75">
      <c r="B11" s="2" t="s">
        <v>6</v>
      </c>
    </row>
    <row r="12" ht="12.75">
      <c r="B12" s="2"/>
    </row>
    <row r="13" spans="2:9" ht="12.75">
      <c r="B13" s="6"/>
      <c r="G13" s="7"/>
      <c r="H13" s="8"/>
      <c r="I13" s="8"/>
    </row>
    <row r="14" spans="2:3" ht="18.75">
      <c r="B14" s="6"/>
      <c r="C14" s="9" t="s">
        <v>7</v>
      </c>
    </row>
    <row r="15" spans="2:3" ht="12.75">
      <c r="B15" s="6"/>
      <c r="C15" s="10" t="s">
        <v>8</v>
      </c>
    </row>
    <row r="16" spans="2:3" ht="12.75">
      <c r="B16" s="6"/>
      <c r="C16" s="10" t="s">
        <v>9</v>
      </c>
    </row>
    <row r="17" spans="2:3" ht="12.75">
      <c r="B17" s="6"/>
      <c r="C17" s="10" t="s">
        <v>10</v>
      </c>
    </row>
  </sheetData>
  <sheetProtection selectLockedCells="1" selectUnlockedCells="1"/>
  <hyperlinks>
    <hyperlink ref="C4" r:id="rId1" display="Website"/>
    <hyperlink ref="E4" r:id="rId2" display="e-mail"/>
    <hyperlink ref="G4" location="'Read Me First'!A1" display="Read-Me-First!"/>
    <hyperlink ref="B11" location="'Input Data Here'!A1" display="Input Data Her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B2:F7"/>
  <sheetViews>
    <sheetView showGridLines="0" workbookViewId="0" topLeftCell="A1">
      <selection activeCell="C7" sqref="C7"/>
    </sheetView>
  </sheetViews>
  <sheetFormatPr defaultColWidth="9.140625" defaultRowHeight="12.75"/>
  <sheetData>
    <row r="2" spans="2:6" ht="15.75">
      <c r="B2" s="11" t="s">
        <v>201</v>
      </c>
      <c r="F2" s="6" t="s">
        <v>12</v>
      </c>
    </row>
    <row r="5" ht="12.75">
      <c r="C5" s="20"/>
    </row>
    <row r="7" spans="3:4" ht="12.75">
      <c r="C7" s="102">
        <f>62.72*POWER(('Torque &amp; SHP'!C12*('Pitch vs Dia'!C4/12)),0.67)</f>
        <v>3932.4949673699293</v>
      </c>
      <c r="D7" s="8" t="s">
        <v>202</v>
      </c>
    </row>
  </sheetData>
  <sheetProtection selectLockedCells="1" selectUnlockedCells="1"/>
  <hyperlinks>
    <hyperlink ref="F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B2:F11"/>
  <sheetViews>
    <sheetView showGridLines="0" workbookViewId="0" topLeftCell="A1">
      <selection activeCell="F18" sqref="F18"/>
    </sheetView>
  </sheetViews>
  <sheetFormatPr defaultColWidth="9.140625" defaultRowHeight="12.75"/>
  <sheetData>
    <row r="2" spans="2:6" ht="15.75">
      <c r="B2" s="11" t="s">
        <v>203</v>
      </c>
      <c r="F2" s="6" t="s">
        <v>12</v>
      </c>
    </row>
    <row r="4" ht="12.75">
      <c r="C4" s="58" t="s">
        <v>163</v>
      </c>
    </row>
    <row r="5" ht="12.75">
      <c r="D5" s="58" t="s">
        <v>204</v>
      </c>
    </row>
    <row r="7" spans="4:5" ht="12.75">
      <c r="D7" s="103">
        <f>'Input Data Here'!G4</f>
        <v>500000</v>
      </c>
      <c r="E7" s="8" t="s">
        <v>205</v>
      </c>
    </row>
    <row r="8" spans="4:5" ht="12.75">
      <c r="D8" s="64">
        <f>D7/2240</f>
        <v>223.21428571428572</v>
      </c>
      <c r="E8" s="8" t="s">
        <v>206</v>
      </c>
    </row>
    <row r="9" spans="4:5" ht="12.75">
      <c r="D9" s="92">
        <f>'Input Data Here'!G5</f>
        <v>92</v>
      </c>
      <c r="E9" s="8" t="s">
        <v>207</v>
      </c>
    </row>
    <row r="10" ht="12.75">
      <c r="D10" s="67"/>
    </row>
    <row r="11" spans="4:5" ht="13.5">
      <c r="D11" s="65">
        <f>D8/POWER(D9/100,3)</f>
        <v>286.65432845284084</v>
      </c>
      <c r="E11" s="8" t="s">
        <v>208</v>
      </c>
    </row>
  </sheetData>
  <sheetProtection selectLockedCells="1" selectUnlockedCells="1"/>
  <hyperlinks>
    <hyperlink ref="F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B2:H23"/>
  <sheetViews>
    <sheetView showGridLines="0" workbookViewId="0" topLeftCell="B1">
      <selection activeCell="E20" sqref="E20"/>
    </sheetView>
  </sheetViews>
  <sheetFormatPr defaultColWidth="9.140625" defaultRowHeight="12.75"/>
  <sheetData>
    <row r="2" ht="15.75">
      <c r="B2" s="11" t="s">
        <v>209</v>
      </c>
    </row>
    <row r="4" ht="12.75">
      <c r="C4" s="58" t="s">
        <v>163</v>
      </c>
    </row>
    <row r="5" ht="12.75">
      <c r="D5" s="58" t="s">
        <v>210</v>
      </c>
    </row>
    <row r="7" spans="4:5" ht="12.75">
      <c r="D7" s="62">
        <f>'Displacement Length'!D11</f>
        <v>286.65432845284084</v>
      </c>
      <c r="E7" s="8" t="s">
        <v>211</v>
      </c>
    </row>
    <row r="8" ht="12.75">
      <c r="D8" s="67"/>
    </row>
    <row r="9" spans="4:5" ht="13.5">
      <c r="D9" s="104">
        <f>8.26/POWER(D7,0.311)</f>
        <v>1.4214826151032467</v>
      </c>
      <c r="E9" s="8" t="s">
        <v>212</v>
      </c>
    </row>
    <row r="10" ht="13.5">
      <c r="D10" s="105"/>
    </row>
    <row r="12" spans="4:8" ht="12.75">
      <c r="D12" s="106">
        <f>'Displacement Speed'!G14</f>
        <v>0.9399079953252777</v>
      </c>
      <c r="E12" s="107" t="s">
        <v>213</v>
      </c>
      <c r="F12" s="107"/>
      <c r="G12" s="107"/>
      <c r="H12" s="108"/>
    </row>
    <row r="14" spans="4:8" ht="12.75">
      <c r="D14" s="109">
        <f>'Displacement Speed'!B14</f>
        <v>0.9383148632568366</v>
      </c>
      <c r="E14" s="110" t="s">
        <v>214</v>
      </c>
      <c r="F14" s="107"/>
      <c r="G14" s="107"/>
      <c r="H14" s="108"/>
    </row>
    <row r="16" ht="12.75">
      <c r="D16" s="4" t="s">
        <v>215</v>
      </c>
    </row>
    <row r="18" spans="4:8" ht="12.75">
      <c r="D18" s="111">
        <f>(D14+D12+D9)/3</f>
        <v>1.099901824561787</v>
      </c>
      <c r="E18" s="112" t="s">
        <v>216</v>
      </c>
      <c r="F18" s="112"/>
      <c r="G18" s="112"/>
      <c r="H18" s="68"/>
    </row>
    <row r="19" spans="4:8" ht="12.75">
      <c r="D19" s="113">
        <f>AVEDEV(D9,D12,D14)</f>
        <v>0.2143871936943065</v>
      </c>
      <c r="E19" s="114" t="s">
        <v>217</v>
      </c>
      <c r="F19" s="114"/>
      <c r="G19" s="114"/>
      <c r="H19" s="30"/>
    </row>
    <row r="20" spans="4:8" ht="12.75">
      <c r="D20" s="67"/>
      <c r="E20" s="115">
        <f>IF(5&lt;(D18/D19),"Figures within limits","Figures outside limits")</f>
        <v>0</v>
      </c>
      <c r="F20" s="116"/>
      <c r="G20" s="117"/>
      <c r="H20" s="86"/>
    </row>
    <row r="22" ht="12.75">
      <c r="B22" s="21" t="s">
        <v>218</v>
      </c>
    </row>
    <row r="23" spans="2:4" ht="12.75">
      <c r="B23" s="21" t="s">
        <v>219</v>
      </c>
      <c r="D23" s="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B2:J11"/>
  <sheetViews>
    <sheetView showGridLines="0" workbookViewId="0" topLeftCell="A1">
      <selection activeCell="H19" sqref="H19"/>
    </sheetView>
  </sheetViews>
  <sheetFormatPr defaultColWidth="9.140625" defaultRowHeight="12.75"/>
  <cols>
    <col min="4" max="4" width="12.421875" style="8" customWidth="1"/>
  </cols>
  <sheetData>
    <row r="2" ht="15.75">
      <c r="B2" s="11" t="s">
        <v>220</v>
      </c>
    </row>
    <row r="4" ht="12.75">
      <c r="C4" s="58" t="s">
        <v>163</v>
      </c>
    </row>
    <row r="5" ht="12.75">
      <c r="D5" s="58" t="s">
        <v>221</v>
      </c>
    </row>
    <row r="7" spans="4:5" ht="12.75">
      <c r="D7" s="15">
        <f>'Input Data Here'!G9</f>
        <v>150</v>
      </c>
      <c r="E7" s="8" t="s">
        <v>107</v>
      </c>
    </row>
    <row r="8" spans="4:5" ht="12.75">
      <c r="D8" s="103">
        <f>'Input Data Here'!G4</f>
        <v>500000</v>
      </c>
      <c r="E8" s="8" t="s">
        <v>222</v>
      </c>
    </row>
    <row r="9" spans="4:5" ht="12.75">
      <c r="D9" s="62">
        <f>'Displacement Speed'!E19</f>
        <v>342.25</v>
      </c>
      <c r="E9" s="8" t="s">
        <v>223</v>
      </c>
    </row>
    <row r="10" ht="12.75">
      <c r="D10" s="67"/>
    </row>
    <row r="11" spans="4:10" ht="13.5">
      <c r="D11" s="69">
        <f>D7/POWER(D8/D9,0.5)</f>
        <v>3.924442635585339</v>
      </c>
      <c r="E11" s="8" t="s">
        <v>224</v>
      </c>
      <c r="G11" s="78">
        <f>IF(D11&lt;1,"&lt;--You cannot plane with motor / hull input","Estimated max planing speed")</f>
        <v>0</v>
      </c>
      <c r="H11" s="50"/>
      <c r="I11" s="50"/>
      <c r="J11" s="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B2:D17"/>
  <sheetViews>
    <sheetView showGridLines="0" workbookViewId="0" topLeftCell="A1">
      <selection activeCell="K24" sqref="K24"/>
    </sheetView>
  </sheetViews>
  <sheetFormatPr defaultColWidth="9.140625" defaultRowHeight="12.75"/>
  <sheetData>
    <row r="2" ht="15.75">
      <c r="B2" s="11" t="s">
        <v>225</v>
      </c>
    </row>
    <row r="4" ht="12.75">
      <c r="C4" s="58" t="s">
        <v>226</v>
      </c>
    </row>
    <row r="5" ht="12.75">
      <c r="D5" s="58" t="s">
        <v>227</v>
      </c>
    </row>
    <row r="8" spans="3:4" ht="12.75">
      <c r="C8" s="62">
        <f>'MWR &amp; DAR'!C17</f>
        <v>295.1757912409391</v>
      </c>
      <c r="D8" s="8" t="s">
        <v>228</v>
      </c>
    </row>
    <row r="9" spans="3:4" ht="12.75">
      <c r="C9" s="118">
        <f>'Prop Pitch'!C16/'Prop Dia'!C13</f>
        <v>0.7099312165112461</v>
      </c>
      <c r="D9" s="8" t="s">
        <v>229</v>
      </c>
    </row>
    <row r="10" ht="12.75">
      <c r="C10" s="32"/>
    </row>
    <row r="11" spans="3:4" ht="12.75">
      <c r="C11" s="118">
        <f>1.0125-(0.1*C9)-((0.0625*(C9*C9)))</f>
        <v>0.9100067325878043</v>
      </c>
      <c r="D11" s="8" t="s">
        <v>230</v>
      </c>
    </row>
    <row r="12" ht="12.75">
      <c r="C12" s="32"/>
    </row>
    <row r="13" spans="3:4" ht="13.5">
      <c r="C13" s="119">
        <f>C8/C11</f>
        <v>324.3666015541905</v>
      </c>
      <c r="D13" s="8" t="s">
        <v>231</v>
      </c>
    </row>
    <row r="16" ht="12.75">
      <c r="C16" s="91" t="s">
        <v>232</v>
      </c>
    </row>
    <row r="17" ht="12.75">
      <c r="C17" s="91" t="s">
        <v>233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B2:K24"/>
  <sheetViews>
    <sheetView showGridLines="0" workbookViewId="0" topLeftCell="A2">
      <selection activeCell="C12" sqref="C12"/>
    </sheetView>
  </sheetViews>
  <sheetFormatPr defaultColWidth="9.140625" defaultRowHeight="12.75"/>
  <cols>
    <col min="4" max="4" width="9.28125" style="8" customWidth="1"/>
  </cols>
  <sheetData>
    <row r="2" ht="15.75">
      <c r="B2" s="11" t="s">
        <v>234</v>
      </c>
    </row>
    <row r="4" ht="12.75">
      <c r="C4" s="58" t="s">
        <v>226</v>
      </c>
    </row>
    <row r="5" ht="12.75">
      <c r="D5" s="58" t="s">
        <v>235</v>
      </c>
    </row>
    <row r="6" ht="12.75">
      <c r="D6" s="58" t="s">
        <v>236</v>
      </c>
    </row>
    <row r="8" ht="12.75">
      <c r="B8" s="8" t="s">
        <v>237</v>
      </c>
    </row>
    <row r="10" spans="3:11" ht="12.75">
      <c r="C10" s="8" t="s">
        <v>238</v>
      </c>
      <c r="G10" s="8" t="s">
        <v>239</v>
      </c>
      <c r="K10" s="8" t="s">
        <v>240</v>
      </c>
    </row>
    <row r="12" spans="3:11" ht="12.75">
      <c r="C12" s="120">
        <v>0.33</v>
      </c>
      <c r="D12" s="8" t="s">
        <v>241</v>
      </c>
      <c r="G12" s="62">
        <f>'Input Data Here'!G10</f>
        <v>40</v>
      </c>
      <c r="H12" s="8" t="s">
        <v>242</v>
      </c>
      <c r="K12" s="121">
        <f>IF(C14&gt;G12,G12,C14)</f>
        <v>33.75581279821549</v>
      </c>
    </row>
    <row r="13" spans="3:11" ht="12.75">
      <c r="C13" s="32"/>
      <c r="G13" s="32"/>
      <c r="K13" s="30"/>
    </row>
    <row r="14" spans="3:11" ht="12.75">
      <c r="C14" s="62">
        <f>'Prop Dia'!C13</f>
        <v>33.75581279821549</v>
      </c>
      <c r="D14" s="8" t="s">
        <v>114</v>
      </c>
      <c r="F14" s="31"/>
      <c r="G14" s="62">
        <f>C17</f>
        <v>295.1757912409391</v>
      </c>
      <c r="H14" s="8" t="s">
        <v>243</v>
      </c>
      <c r="K14" s="121">
        <f>G14</f>
        <v>295.1757912409391</v>
      </c>
    </row>
    <row r="15" spans="3:11" ht="12.75">
      <c r="C15" s="122"/>
      <c r="D15" s="31"/>
      <c r="E15" s="31"/>
      <c r="F15" s="32"/>
      <c r="G15" s="122"/>
      <c r="K15" s="30"/>
    </row>
    <row r="16" spans="3:11" ht="12" customHeight="1">
      <c r="C16" s="67"/>
      <c r="D16" s="32"/>
      <c r="G16" s="67"/>
      <c r="K16" s="30"/>
    </row>
    <row r="17" spans="3:11" ht="13.5">
      <c r="C17" s="65">
        <f>(3.14*(('Prop Dia'!C13/2)*('Prop Dia'!C13/2)))*C12</f>
        <v>295.1757912409391</v>
      </c>
      <c r="D17" s="8" t="s">
        <v>244</v>
      </c>
      <c r="G17" s="123">
        <f>G14/(3.14*((G12/2)*(G12/2)))</f>
        <v>0.23501257264405978</v>
      </c>
      <c r="H17" s="8" t="s">
        <v>245</v>
      </c>
      <c r="K17" s="124">
        <f>IF(C14&gt;G12,G17,C12)</f>
        <v>0.33</v>
      </c>
    </row>
    <row r="18" ht="12.75">
      <c r="K18" s="72"/>
    </row>
    <row r="19" spans="2:11" ht="12.75">
      <c r="B19" s="8" t="s">
        <v>246</v>
      </c>
      <c r="J19" s="88">
        <f>IF(K17&gt;100%,"Too High!","OK")</f>
        <v>0</v>
      </c>
      <c r="K19" s="114"/>
    </row>
    <row r="21" spans="3:8" ht="12.75">
      <c r="C21" s="15">
        <v>3</v>
      </c>
      <c r="D21" s="8" t="s">
        <v>247</v>
      </c>
      <c r="G21" s="15">
        <f>C21</f>
        <v>3</v>
      </c>
      <c r="H21" s="8" t="s">
        <v>247</v>
      </c>
    </row>
    <row r="22" ht="12.75">
      <c r="C22" s="67"/>
    </row>
    <row r="23" spans="3:8" ht="12.75">
      <c r="C23" s="125">
        <f>(1*C12)/(0.51*C21)</f>
        <v>0.21568627450980393</v>
      </c>
      <c r="D23" s="8" t="s">
        <v>248</v>
      </c>
      <c r="G23" s="125">
        <f>(1*G17)/(0.51*G21)</f>
        <v>0.15360298865624822</v>
      </c>
      <c r="H23" s="8" t="s">
        <v>248</v>
      </c>
    </row>
    <row r="24" spans="3:8" ht="13.5">
      <c r="C24" s="126">
        <f>C23*C14</f>
        <v>7.280665505497458</v>
      </c>
      <c r="D24" s="8" t="s">
        <v>249</v>
      </c>
      <c r="G24" s="126">
        <f>C23*G12</f>
        <v>8.627450980392158</v>
      </c>
      <c r="H24" s="8" t="s">
        <v>250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B2:E13"/>
  <sheetViews>
    <sheetView showGridLines="0" workbookViewId="0" topLeftCell="A1">
      <selection activeCell="K23" sqref="K23"/>
    </sheetView>
  </sheetViews>
  <sheetFormatPr defaultColWidth="9.140625" defaultRowHeight="12.75"/>
  <sheetData>
    <row r="2" spans="2:5" ht="15.75">
      <c r="B2" s="11" t="s">
        <v>251</v>
      </c>
      <c r="E2" s="6" t="s">
        <v>252</v>
      </c>
    </row>
    <row r="4" ht="12.75">
      <c r="C4" s="58" t="s">
        <v>163</v>
      </c>
    </row>
    <row r="5" ht="12.75">
      <c r="D5" s="58" t="s">
        <v>253</v>
      </c>
    </row>
    <row r="8" spans="3:4" ht="12.75">
      <c r="C8" s="103">
        <f>'Input Data Here'!G4</f>
        <v>500000</v>
      </c>
      <c r="D8" s="8" t="s">
        <v>254</v>
      </c>
    </row>
    <row r="9" spans="3:4" ht="12.75">
      <c r="C9" s="15">
        <f>'Input Data Here'!G5</f>
        <v>92</v>
      </c>
      <c r="D9" s="8" t="s">
        <v>255</v>
      </c>
    </row>
    <row r="10" spans="3:4" ht="12.75">
      <c r="C10" s="15">
        <f>'Input Data Here'!G6</f>
        <v>21.6</v>
      </c>
      <c r="D10" s="8" t="s">
        <v>256</v>
      </c>
    </row>
    <row r="11" spans="3:4" ht="12.75">
      <c r="C11" s="15">
        <f>'Input Data Here'!G7</f>
        <v>8.3</v>
      </c>
      <c r="D11" s="8" t="s">
        <v>257</v>
      </c>
    </row>
    <row r="12" ht="12.75">
      <c r="C12" s="67"/>
    </row>
    <row r="13" spans="3:4" ht="13.5">
      <c r="C13" s="69">
        <f>C8/(64*C9*C10*C11)</f>
        <v>0.47366397958985695</v>
      </c>
      <c r="D13" s="8" t="s">
        <v>251</v>
      </c>
    </row>
  </sheetData>
  <sheetProtection selectLockedCells="1" selectUnlockedCells="1"/>
  <hyperlinks>
    <hyperlink ref="E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B2:E12"/>
  <sheetViews>
    <sheetView showGridLines="0" workbookViewId="0" topLeftCell="A1">
      <selection activeCell="F11" sqref="F11"/>
    </sheetView>
  </sheetViews>
  <sheetFormatPr defaultColWidth="9.140625" defaultRowHeight="12.75"/>
  <sheetData>
    <row r="2" spans="2:4" ht="15.75">
      <c r="B2" s="11" t="s">
        <v>199</v>
      </c>
      <c r="D2" s="6" t="s">
        <v>252</v>
      </c>
    </row>
    <row r="4" ht="12.75">
      <c r="C4" s="58" t="s">
        <v>163</v>
      </c>
    </row>
    <row r="5" ht="12.75">
      <c r="D5" s="58" t="s">
        <v>258</v>
      </c>
    </row>
    <row r="7" spans="4:5" ht="12.75">
      <c r="D7" s="64">
        <f>'Block Coefficient'!C13</f>
        <v>0.47366397958985695</v>
      </c>
      <c r="E7" s="8" t="s">
        <v>251</v>
      </c>
    </row>
    <row r="8" spans="4:5" ht="12.75">
      <c r="D8" s="62">
        <f>'Input Data Here'!C4</f>
        <v>2</v>
      </c>
      <c r="E8" s="8" t="s">
        <v>137</v>
      </c>
    </row>
    <row r="9" spans="4:5" ht="12.75">
      <c r="D9" s="16">
        <f>IF(D8=1,1.11,1.06)</f>
        <v>1.06</v>
      </c>
      <c r="E9" s="8" t="s">
        <v>259</v>
      </c>
    </row>
    <row r="10" spans="4:5" ht="12.75">
      <c r="D10" s="16">
        <f>IF(D8=1,0.6,0.4)</f>
        <v>0.4</v>
      </c>
      <c r="E10" s="8" t="s">
        <v>260</v>
      </c>
    </row>
    <row r="11" ht="12.75">
      <c r="D11" s="67"/>
    </row>
    <row r="12" ht="13.5">
      <c r="D12" s="69">
        <f>D9-(D10*'Block Coefficient'!C13)</f>
        <v>0.8705344081640572</v>
      </c>
    </row>
  </sheetData>
  <sheetProtection selectLockedCells="1" selectUnlockedCells="1"/>
  <hyperlinks>
    <hyperlink ref="D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B2:J23"/>
  <sheetViews>
    <sheetView showGridLines="0" workbookViewId="0" topLeftCell="A1">
      <selection activeCell="G25" sqref="G25"/>
    </sheetView>
  </sheetViews>
  <sheetFormatPr defaultColWidth="9.140625" defaultRowHeight="12.75"/>
  <cols>
    <col min="4" max="5" width="10.140625" style="8" customWidth="1"/>
    <col min="7" max="8" width="10.140625" style="8" customWidth="1"/>
  </cols>
  <sheetData>
    <row r="2" ht="15.75">
      <c r="B2" s="11" t="s">
        <v>261</v>
      </c>
    </row>
    <row r="5" spans="3:9" s="58" customFormat="1" ht="12.75">
      <c r="C5" s="58" t="s">
        <v>262</v>
      </c>
      <c r="E5" s="58" t="s">
        <v>263</v>
      </c>
      <c r="G5" s="58" t="s">
        <v>264</v>
      </c>
      <c r="I5" s="58" t="s">
        <v>265</v>
      </c>
    </row>
    <row r="7" spans="2:10" ht="12.75">
      <c r="B7" s="127">
        <v>1</v>
      </c>
      <c r="C7" s="128" t="s">
        <v>266</v>
      </c>
      <c r="D7" s="112"/>
      <c r="E7" s="129">
        <v>70000</v>
      </c>
      <c r="F7" s="130">
        <f>IF(E15=1,E7,0)</f>
        <v>0</v>
      </c>
      <c r="G7" s="131">
        <v>28000000</v>
      </c>
      <c r="H7" s="132">
        <f>IF(E15=1,G7,0)</f>
        <v>0</v>
      </c>
      <c r="I7" s="133">
        <v>0.285</v>
      </c>
      <c r="J7" s="134">
        <f>IF(E15=1,I7,0)</f>
        <v>0</v>
      </c>
    </row>
    <row r="8" spans="2:10" ht="12.75">
      <c r="B8" s="135">
        <v>2</v>
      </c>
      <c r="C8" s="60" t="s">
        <v>267</v>
      </c>
      <c r="D8" s="114"/>
      <c r="E8" s="136">
        <v>60000</v>
      </c>
      <c r="F8" s="137">
        <f>IF(E15=2,E8,0)</f>
        <v>0</v>
      </c>
      <c r="G8" s="138">
        <v>28800000</v>
      </c>
      <c r="H8" s="139">
        <f>IF(E15=2,G8,0)</f>
        <v>0</v>
      </c>
      <c r="I8" s="140">
        <v>0.281</v>
      </c>
      <c r="J8" s="141">
        <f>IF(E15=2,I8,0)</f>
        <v>0</v>
      </c>
    </row>
    <row r="9" spans="2:10" ht="12.75">
      <c r="B9" s="135">
        <v>3</v>
      </c>
      <c r="C9" s="60" t="s">
        <v>268</v>
      </c>
      <c r="D9" s="114"/>
      <c r="E9" s="136">
        <v>70000</v>
      </c>
      <c r="F9" s="137">
        <f>IF(E16=3,E9,0)</f>
        <v>0</v>
      </c>
      <c r="G9" s="138">
        <v>28500000</v>
      </c>
      <c r="H9" s="139">
        <f>IF(E15=3,G9,0)</f>
        <v>0</v>
      </c>
      <c r="I9" s="140">
        <v>0.284</v>
      </c>
      <c r="J9" s="141">
        <f>IF(E15=3,I9,0)</f>
        <v>0</v>
      </c>
    </row>
    <row r="10" spans="2:10" ht="12.75">
      <c r="B10" s="135">
        <v>4</v>
      </c>
      <c r="C10" s="60" t="s">
        <v>269</v>
      </c>
      <c r="D10" s="114"/>
      <c r="E10" s="136">
        <v>40000</v>
      </c>
      <c r="F10" s="137">
        <f>IF(E15=4,E10,0)</f>
        <v>0</v>
      </c>
      <c r="G10" s="138">
        <v>26000000</v>
      </c>
      <c r="H10" s="139">
        <f>IF(E15=4,G10,0)</f>
        <v>0</v>
      </c>
      <c r="I10" s="140">
        <v>0.319</v>
      </c>
      <c r="J10" s="141">
        <f>IF(E15=4,I10,0)</f>
        <v>0</v>
      </c>
    </row>
    <row r="11" spans="2:10" ht="12.75">
      <c r="B11" s="135">
        <v>5</v>
      </c>
      <c r="C11" s="60" t="s">
        <v>270</v>
      </c>
      <c r="D11" s="114"/>
      <c r="E11" s="136">
        <v>67000</v>
      </c>
      <c r="F11" s="137">
        <f>IF(E15=5,E11,0)</f>
        <v>0</v>
      </c>
      <c r="G11" s="138">
        <v>26000000</v>
      </c>
      <c r="H11" s="139">
        <f>IF(E15=5,G11,0)</f>
        <v>0</v>
      </c>
      <c r="I11" s="140">
        <v>0.306</v>
      </c>
      <c r="J11" s="141">
        <f>IF(E15=5,I11,0)</f>
        <v>0</v>
      </c>
    </row>
    <row r="12" spans="2:10" ht="12.75">
      <c r="B12" s="135">
        <v>6</v>
      </c>
      <c r="C12" s="60" t="s">
        <v>271</v>
      </c>
      <c r="D12" s="114"/>
      <c r="E12" s="136">
        <v>20000</v>
      </c>
      <c r="F12" s="137">
        <f>IF(E15=6,E12,0)</f>
        <v>20000</v>
      </c>
      <c r="G12" s="138">
        <v>16000000</v>
      </c>
      <c r="H12" s="139">
        <f>IF(E15=6,G12,0)</f>
        <v>16000000</v>
      </c>
      <c r="I12" s="140">
        <v>0.304</v>
      </c>
      <c r="J12" s="141">
        <f>IF(E15=6,I12,0)</f>
        <v>0.304</v>
      </c>
    </row>
    <row r="13" spans="2:10" ht="12.75">
      <c r="B13" s="142">
        <v>7</v>
      </c>
      <c r="C13" s="59" t="s">
        <v>272</v>
      </c>
      <c r="D13" s="31"/>
      <c r="E13" s="143">
        <v>20000</v>
      </c>
      <c r="F13" s="144">
        <f>IF(E15=7,E13,0)</f>
        <v>0</v>
      </c>
      <c r="G13" s="145">
        <v>28000000</v>
      </c>
      <c r="H13" s="146">
        <f>IF(E15=7,G13,0)</f>
        <v>0</v>
      </c>
      <c r="I13" s="147">
        <v>0.206</v>
      </c>
      <c r="J13" s="148">
        <f>IF(E15=7,I13,0)</f>
        <v>0</v>
      </c>
    </row>
    <row r="15" spans="3:8" ht="12.75">
      <c r="C15" s="8" t="s">
        <v>273</v>
      </c>
      <c r="D15" s="17"/>
      <c r="E15" s="14">
        <v>6</v>
      </c>
      <c r="G15" s="90">
        <f>SUM(F7:F13)</f>
        <v>20000</v>
      </c>
      <c r="H15" s="149" t="s">
        <v>274</v>
      </c>
    </row>
    <row r="16" spans="3:8" ht="12.75">
      <c r="C16" s="21">
        <f>IF(E15&gt;7,"Select a lower material number",".")</f>
        <v>0</v>
      </c>
      <c r="G16" s="150">
        <f>SUM(J7:J13)</f>
        <v>0.304</v>
      </c>
      <c r="H16" s="8" t="s">
        <v>275</v>
      </c>
    </row>
    <row r="17" spans="3:8" ht="12.75">
      <c r="C17" s="21">
        <f>IF(E15&lt;1,"select a higher material no",".")</f>
        <v>0</v>
      </c>
      <c r="G17" s="151">
        <f>SUM(H7:H13)</f>
        <v>16000000</v>
      </c>
      <c r="H17" s="8" t="s">
        <v>276</v>
      </c>
    </row>
    <row r="18" spans="4:5" ht="12.75">
      <c r="D18" s="17"/>
      <c r="E18" s="152"/>
    </row>
    <row r="19" ht="12.75">
      <c r="B19" s="23" t="s">
        <v>277</v>
      </c>
    </row>
    <row r="20" ht="12.75">
      <c r="B20" s="23" t="s">
        <v>278</v>
      </c>
    </row>
    <row r="21" ht="12.75">
      <c r="B21" s="23" t="s">
        <v>279</v>
      </c>
    </row>
    <row r="22" ht="12.75">
      <c r="B22" s="23" t="s">
        <v>280</v>
      </c>
    </row>
    <row r="23" ht="12.75">
      <c r="B23" s="23" t="s">
        <v>281</v>
      </c>
    </row>
    <row r="25" ht="14.2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B2:J19"/>
  <sheetViews>
    <sheetView showGridLines="0" workbookViewId="0" topLeftCell="A1">
      <selection activeCell="G24" sqref="G24"/>
    </sheetView>
  </sheetViews>
  <sheetFormatPr defaultColWidth="9.140625" defaultRowHeight="12.75"/>
  <sheetData>
    <row r="2" spans="2:5" ht="15.75">
      <c r="B2" s="11" t="s">
        <v>282</v>
      </c>
      <c r="E2" s="6" t="s">
        <v>12</v>
      </c>
    </row>
    <row r="4" ht="12.75">
      <c r="C4" s="21" t="s">
        <v>283</v>
      </c>
    </row>
    <row r="5" ht="12.75">
      <c r="C5" s="21" t="s">
        <v>284</v>
      </c>
    </row>
    <row r="7" ht="12.75">
      <c r="C7" s="58" t="s">
        <v>163</v>
      </c>
    </row>
    <row r="8" ht="12.75">
      <c r="D8" s="58" t="s">
        <v>285</v>
      </c>
    </row>
    <row r="10" spans="4:5" ht="12.75">
      <c r="D10" s="62">
        <f>'Displacement Speed'!B11</f>
        <v>171.125</v>
      </c>
      <c r="E10" s="8" t="s">
        <v>286</v>
      </c>
    </row>
    <row r="11" ht="12.75">
      <c r="D11" s="32"/>
    </row>
    <row r="12" spans="2:5" ht="12.75">
      <c r="B12" s="4" t="s">
        <v>287</v>
      </c>
      <c r="D12" s="153">
        <v>3</v>
      </c>
      <c r="E12" s="8" t="s">
        <v>288</v>
      </c>
    </row>
    <row r="13" ht="12.75">
      <c r="D13" s="32"/>
    </row>
    <row r="14" spans="4:5" ht="12.75">
      <c r="D14" s="103">
        <f>'Shaft material'!G15</f>
        <v>20000</v>
      </c>
      <c r="E14" s="8" t="s">
        <v>289</v>
      </c>
    </row>
    <row r="15" ht="12.75">
      <c r="D15" s="32"/>
    </row>
    <row r="16" spans="4:5" ht="12.75">
      <c r="D16" s="62">
        <f>'Input Data Here'!C6/'Input Data Here'!C10</f>
        <v>734.2657342657343</v>
      </c>
      <c r="E16" s="8" t="s">
        <v>290</v>
      </c>
    </row>
    <row r="17" spans="4:10" ht="12.75">
      <c r="D17" s="67"/>
      <c r="H17" s="154">
        <f>'Prop Dia'!C13</f>
        <v>33.75581279821549</v>
      </c>
      <c r="I17" s="112" t="s">
        <v>291</v>
      </c>
      <c r="J17" s="68"/>
    </row>
    <row r="18" spans="4:10" ht="13.5">
      <c r="D18" s="155">
        <f>POWER((321000*D10*D12)/(D14*D16),0.33333333333333)</f>
        <v>2.238818208135762</v>
      </c>
      <c r="E18" s="8" t="s">
        <v>292</v>
      </c>
      <c r="H18" s="156">
        <f>H17/14</f>
        <v>2.4111294855868204</v>
      </c>
      <c r="I18" s="31" t="s">
        <v>293</v>
      </c>
      <c r="J18" s="86"/>
    </row>
    <row r="19" spans="8:9" ht="12.75">
      <c r="H19" s="157">
        <f>AVERAGE(D18,H18)</f>
        <v>2.3249738468612913</v>
      </c>
      <c r="I19" s="108" t="s">
        <v>294</v>
      </c>
    </row>
  </sheetData>
  <sheetProtection selectLockedCells="1" selectUnlockedCells="1"/>
  <hyperlinks>
    <hyperlink ref="E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K106"/>
  <sheetViews>
    <sheetView showGridLines="0" workbookViewId="0" topLeftCell="A12">
      <selection activeCell="K67" sqref="K67"/>
    </sheetView>
  </sheetViews>
  <sheetFormatPr defaultColWidth="9.140625" defaultRowHeight="12.75"/>
  <sheetData>
    <row r="2" spans="2:11" ht="15.75">
      <c r="B2" s="11" t="s">
        <v>11</v>
      </c>
      <c r="D2" s="6" t="s">
        <v>12</v>
      </c>
      <c r="E2" s="12" t="s">
        <v>13</v>
      </c>
      <c r="F2" s="13"/>
      <c r="G2" s="13"/>
      <c r="H2" s="13"/>
      <c r="I2" s="13"/>
      <c r="J2" s="13"/>
      <c r="K2" s="13"/>
    </row>
    <row r="4" spans="3:4" ht="12.75">
      <c r="C4" s="14"/>
      <c r="D4" s="8" t="s">
        <v>14</v>
      </c>
    </row>
    <row r="5" spans="3:4" ht="12.75">
      <c r="C5" s="15"/>
      <c r="D5" s="8" t="s">
        <v>15</v>
      </c>
    </row>
    <row r="6" spans="3:4" ht="12.75">
      <c r="C6" s="16"/>
      <c r="D6" s="8" t="s">
        <v>16</v>
      </c>
    </row>
    <row r="7" ht="12.75">
      <c r="C7" s="17"/>
    </row>
    <row r="8" spans="3:6" ht="15.75">
      <c r="C8" s="17"/>
      <c r="F8" s="18" t="s">
        <v>17</v>
      </c>
    </row>
    <row r="9" spans="3:6" ht="15">
      <c r="C9" s="17"/>
      <c r="F9" s="18"/>
    </row>
    <row r="10" spans="2:6" ht="15">
      <c r="B10" s="19" t="s">
        <v>18</v>
      </c>
      <c r="C10" s="17"/>
      <c r="F10" s="18"/>
    </row>
    <row r="11" spans="2:6" ht="15">
      <c r="B11" s="19" t="s">
        <v>19</v>
      </c>
      <c r="C11" s="17"/>
      <c r="F11" s="18"/>
    </row>
    <row r="12" spans="2:6" ht="15">
      <c r="B12" s="19" t="s">
        <v>20</v>
      </c>
      <c r="C12" s="17"/>
      <c r="F12" s="18"/>
    </row>
    <row r="13" ht="12.75">
      <c r="C13" s="17"/>
    </row>
    <row r="14" ht="12.75">
      <c r="B14" s="20" t="s">
        <v>21</v>
      </c>
    </row>
    <row r="16" ht="12.75">
      <c r="C16" s="8" t="s">
        <v>22</v>
      </c>
    </row>
    <row r="17" ht="12.75">
      <c r="C17" s="8" t="s">
        <v>23</v>
      </c>
    </row>
    <row r="18" ht="12.75">
      <c r="C18" s="8" t="s">
        <v>24</v>
      </c>
    </row>
    <row r="19" ht="12.75">
      <c r="C19" s="8" t="s">
        <v>25</v>
      </c>
    </row>
    <row r="20" ht="12.75">
      <c r="C20" s="8" t="s">
        <v>26</v>
      </c>
    </row>
    <row r="22" ht="12.75">
      <c r="B22" s="20" t="s">
        <v>27</v>
      </c>
    </row>
    <row r="24" ht="12.75">
      <c r="C24" s="8" t="s">
        <v>28</v>
      </c>
    </row>
    <row r="25" ht="12.75">
      <c r="C25" s="8" t="s">
        <v>29</v>
      </c>
    </row>
    <row r="26" ht="12.75">
      <c r="C26" s="8" t="s">
        <v>30</v>
      </c>
    </row>
    <row r="27" ht="12.75">
      <c r="C27" s="8" t="s">
        <v>31</v>
      </c>
    </row>
    <row r="29" ht="12.75">
      <c r="C29" s="8" t="s">
        <v>32</v>
      </c>
    </row>
    <row r="30" ht="12.75">
      <c r="C30" s="8" t="s">
        <v>33</v>
      </c>
    </row>
    <row r="31" ht="12.75">
      <c r="C31" s="8" t="s">
        <v>34</v>
      </c>
    </row>
    <row r="32" ht="12.75">
      <c r="C32" s="8" t="s">
        <v>35</v>
      </c>
    </row>
    <row r="33" ht="12.75">
      <c r="C33" s="8" t="s">
        <v>36</v>
      </c>
    </row>
    <row r="35" ht="12.75">
      <c r="C35" s="8" t="s">
        <v>37</v>
      </c>
    </row>
    <row r="36" ht="12.75">
      <c r="C36" s="8" t="s">
        <v>38</v>
      </c>
    </row>
    <row r="37" ht="12.75">
      <c r="C37" s="8" t="s">
        <v>39</v>
      </c>
    </row>
    <row r="38" ht="12.75">
      <c r="C38" s="8" t="s">
        <v>40</v>
      </c>
    </row>
    <row r="40" ht="12.75">
      <c r="C40" s="8" t="s">
        <v>41</v>
      </c>
    </row>
    <row r="41" ht="12.75">
      <c r="C41" s="8" t="s">
        <v>42</v>
      </c>
    </row>
    <row r="42" ht="12.75">
      <c r="C42" s="8" t="s">
        <v>43</v>
      </c>
    </row>
    <row r="43" ht="12.75">
      <c r="C43" s="8" t="s">
        <v>44</v>
      </c>
    </row>
    <row r="44" ht="12.75">
      <c r="C44" s="8" t="s">
        <v>45</v>
      </c>
    </row>
    <row r="46" ht="12.75">
      <c r="B46" s="20" t="s">
        <v>46</v>
      </c>
    </row>
    <row r="48" ht="12.75">
      <c r="C48" s="8" t="s">
        <v>47</v>
      </c>
    </row>
    <row r="49" ht="12.75">
      <c r="C49" s="8" t="s">
        <v>48</v>
      </c>
    </row>
    <row r="51" ht="12.75">
      <c r="C51" s="8" t="s">
        <v>49</v>
      </c>
    </row>
    <row r="52" ht="12.75">
      <c r="C52" s="8" t="s">
        <v>50</v>
      </c>
    </row>
    <row r="53" ht="12.75">
      <c r="C53" s="8" t="s">
        <v>51</v>
      </c>
    </row>
    <row r="54" ht="12.75">
      <c r="C54" s="8" t="s">
        <v>52</v>
      </c>
    </row>
    <row r="55" ht="12.75">
      <c r="C55" s="8" t="s">
        <v>53</v>
      </c>
    </row>
    <row r="56" ht="12.75">
      <c r="C56" s="8" t="s">
        <v>54</v>
      </c>
    </row>
    <row r="58" ht="12.75">
      <c r="C58" s="8" t="s">
        <v>55</v>
      </c>
    </row>
    <row r="59" ht="12.75">
      <c r="C59" s="8" t="s">
        <v>56</v>
      </c>
    </row>
    <row r="60" ht="12.75">
      <c r="C60" s="8" t="s">
        <v>57</v>
      </c>
    </row>
    <row r="61" ht="12.75">
      <c r="C61" s="8" t="s">
        <v>58</v>
      </c>
    </row>
    <row r="62" ht="12.75">
      <c r="C62" s="8" t="s">
        <v>59</v>
      </c>
    </row>
    <row r="63" ht="12.75">
      <c r="C63" s="8" t="s">
        <v>60</v>
      </c>
    </row>
    <row r="64" ht="12.75">
      <c r="C64" s="8" t="s">
        <v>61</v>
      </c>
    </row>
    <row r="66" ht="12.75">
      <c r="B66" s="20" t="s">
        <v>62</v>
      </c>
    </row>
    <row r="68" ht="12.75">
      <c r="C68" s="8" t="s">
        <v>63</v>
      </c>
    </row>
    <row r="69" ht="12.75">
      <c r="C69" s="8" t="s">
        <v>64</v>
      </c>
    </row>
    <row r="70" ht="12.75">
      <c r="C70" s="8" t="s">
        <v>65</v>
      </c>
    </row>
    <row r="71" ht="12.75">
      <c r="C71" s="8" t="s">
        <v>66</v>
      </c>
    </row>
    <row r="72" ht="12.75">
      <c r="C72" s="8" t="s">
        <v>67</v>
      </c>
    </row>
    <row r="73" ht="12.75">
      <c r="C73" s="8" t="s">
        <v>68</v>
      </c>
    </row>
    <row r="74" ht="12.75">
      <c r="C74" s="21" t="s">
        <v>69</v>
      </c>
    </row>
    <row r="75" ht="12.75">
      <c r="C75" s="21" t="s">
        <v>70</v>
      </c>
    </row>
    <row r="76" ht="12.75">
      <c r="C76" s="21" t="s">
        <v>71</v>
      </c>
    </row>
    <row r="77" ht="12.75">
      <c r="C77" s="21" t="s">
        <v>72</v>
      </c>
    </row>
    <row r="78" ht="12.75">
      <c r="C78" s="21"/>
    </row>
    <row r="79" spans="2:3" ht="12.75">
      <c r="B79" s="20" t="s">
        <v>73</v>
      </c>
      <c r="C79" s="21"/>
    </row>
    <row r="80" ht="12.75">
      <c r="C80" s="21"/>
    </row>
    <row r="81" ht="12.75">
      <c r="C81" s="8" t="s">
        <v>74</v>
      </c>
    </row>
    <row r="82" ht="12.75">
      <c r="C82" s="8" t="s">
        <v>75</v>
      </c>
    </row>
    <row r="83" ht="12.75">
      <c r="C83" s="8" t="s">
        <v>76</v>
      </c>
    </row>
    <row r="84" ht="12.75">
      <c r="C84" s="8" t="s">
        <v>77</v>
      </c>
    </row>
    <row r="85" ht="12.75">
      <c r="C85" s="8" t="s">
        <v>78</v>
      </c>
    </row>
    <row r="86" ht="12.75">
      <c r="C86" s="22" t="s">
        <v>79</v>
      </c>
    </row>
    <row r="87" ht="12.75">
      <c r="C87" s="21" t="s">
        <v>80</v>
      </c>
    </row>
    <row r="88" ht="12.75">
      <c r="C88" s="21" t="s">
        <v>81</v>
      </c>
    </row>
    <row r="89" ht="12.75">
      <c r="C89" s="23" t="s">
        <v>82</v>
      </c>
    </row>
    <row r="90" ht="12.75">
      <c r="C90" s="23" t="s">
        <v>83</v>
      </c>
    </row>
    <row r="91" ht="12.75">
      <c r="C91" s="23"/>
    </row>
    <row r="92" ht="12.75">
      <c r="B92" s="20" t="s">
        <v>84</v>
      </c>
    </row>
    <row r="94" spans="2:3" ht="12.75">
      <c r="B94" s="8" t="s">
        <v>85</v>
      </c>
      <c r="C94" s="8" t="s">
        <v>86</v>
      </c>
    </row>
    <row r="95" ht="12.75">
      <c r="C95" s="8" t="s">
        <v>87</v>
      </c>
    </row>
    <row r="96" ht="12.75">
      <c r="C96" s="8" t="s">
        <v>88</v>
      </c>
    </row>
    <row r="97" ht="12.75">
      <c r="C97" s="8" t="s">
        <v>89</v>
      </c>
    </row>
    <row r="98" ht="12.75">
      <c r="C98" s="8" t="s">
        <v>90</v>
      </c>
    </row>
    <row r="99" ht="12.75">
      <c r="C99" s="8" t="s">
        <v>91</v>
      </c>
    </row>
    <row r="101" ht="12.75">
      <c r="C101" s="8" t="s">
        <v>92</v>
      </c>
    </row>
    <row r="102" ht="12.75">
      <c r="C102" s="8" t="s">
        <v>93</v>
      </c>
    </row>
    <row r="103" ht="12.75">
      <c r="C103" s="8" t="s">
        <v>94</v>
      </c>
    </row>
    <row r="105" ht="12.75">
      <c r="C105" s="21" t="s">
        <v>95</v>
      </c>
    </row>
    <row r="106" ht="12.75">
      <c r="C106" s="21" t="s">
        <v>96</v>
      </c>
    </row>
  </sheetData>
  <sheetProtection selectLockedCells="1" selectUnlockedCells="1"/>
  <hyperlinks>
    <hyperlink ref="D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B2:F12"/>
  <sheetViews>
    <sheetView showGridLines="0" workbookViewId="0" topLeftCell="A1">
      <selection activeCell="D10" sqref="D10"/>
    </sheetView>
  </sheetViews>
  <sheetFormatPr defaultColWidth="9.140625" defaultRowHeight="12.75"/>
  <cols>
    <col min="4" max="4" width="10.140625" style="8" customWidth="1"/>
  </cols>
  <sheetData>
    <row r="2" spans="2:6" ht="15.75">
      <c r="B2" s="11" t="s">
        <v>295</v>
      </c>
      <c r="F2" s="6" t="s">
        <v>12</v>
      </c>
    </row>
    <row r="4" ht="12.75">
      <c r="C4" s="58" t="s">
        <v>163</v>
      </c>
    </row>
    <row r="5" ht="12.75">
      <c r="D5" s="58" t="s">
        <v>296</v>
      </c>
    </row>
    <row r="7" spans="4:5" ht="12.75">
      <c r="D7" s="158">
        <f>'Shaft dia'!D18</f>
        <v>2.238818208135762</v>
      </c>
      <c r="E7" s="8" t="s">
        <v>297</v>
      </c>
    </row>
    <row r="8" spans="4:5" ht="12.75">
      <c r="D8" s="62">
        <f>'Shaft dia'!D16</f>
        <v>734.2657342657343</v>
      </c>
      <c r="E8" s="8" t="s">
        <v>168</v>
      </c>
    </row>
    <row r="9" spans="4:5" ht="12.75">
      <c r="D9" s="103">
        <f>'Shaft material'!G17</f>
        <v>16000000</v>
      </c>
      <c r="E9" s="8" t="s">
        <v>298</v>
      </c>
    </row>
    <row r="10" spans="4:5" ht="12.75">
      <c r="D10" s="15">
        <f>'Shaft material'!G16</f>
        <v>0.304</v>
      </c>
      <c r="E10" s="8" t="s">
        <v>299</v>
      </c>
    </row>
    <row r="11" ht="12.75">
      <c r="D11" s="67"/>
    </row>
    <row r="12" spans="4:5" ht="13.5">
      <c r="D12" s="159">
        <f>(SQRT((3.21*D7)/D8))*(POWER(D9/D10,0.25))</f>
        <v>8.426493698140144</v>
      </c>
      <c r="E12" s="8" t="s">
        <v>300</v>
      </c>
    </row>
  </sheetData>
  <sheetProtection selectLockedCells="1" selectUnlockedCells="1"/>
  <hyperlinks>
    <hyperlink ref="F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B2:F13"/>
  <sheetViews>
    <sheetView showGridLines="0" workbookViewId="0" topLeftCell="A1">
      <selection activeCell="D6" sqref="D6"/>
    </sheetView>
  </sheetViews>
  <sheetFormatPr defaultColWidth="9.140625" defaultRowHeight="12.75"/>
  <sheetData>
    <row r="2" spans="2:6" ht="15.75">
      <c r="B2" s="11" t="s">
        <v>301</v>
      </c>
      <c r="F2" s="6" t="s">
        <v>12</v>
      </c>
    </row>
    <row r="4" ht="12.75">
      <c r="C4" s="4" t="s">
        <v>302</v>
      </c>
    </row>
    <row r="6" spans="4:5" ht="12.75">
      <c r="D6" s="62">
        <f>'Prop Dia'!C13</f>
        <v>33.75581279821549</v>
      </c>
      <c r="E6" s="8" t="s">
        <v>303</v>
      </c>
    </row>
    <row r="7" ht="12.75">
      <c r="D7" s="67"/>
    </row>
    <row r="8" spans="4:5" ht="13.5">
      <c r="D8" s="65">
        <f>0.00241*POWER(D6,3.05)</f>
        <v>110.53000259911585</v>
      </c>
      <c r="E8" s="8" t="s">
        <v>304</v>
      </c>
    </row>
    <row r="9" ht="12.75">
      <c r="D9" s="76"/>
    </row>
    <row r="10" spans="4:5" ht="13.5">
      <c r="D10" s="65">
        <f>0.00323*POWER(D6,3.05)</f>
        <v>148.13772132578598</v>
      </c>
      <c r="E10" s="8" t="s">
        <v>305</v>
      </c>
    </row>
    <row r="13" ht="12.75">
      <c r="E13" s="21" t="s">
        <v>306</v>
      </c>
    </row>
  </sheetData>
  <sheetProtection selectLockedCells="1" selectUnlockedCells="1"/>
  <hyperlinks>
    <hyperlink ref="F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B2:K20"/>
  <sheetViews>
    <sheetView showGridLines="0" workbookViewId="0" topLeftCell="A1">
      <selection activeCell="O15" sqref="O15"/>
    </sheetView>
  </sheetViews>
  <sheetFormatPr defaultColWidth="9.140625" defaultRowHeight="12.75"/>
  <sheetData>
    <row r="2" ht="12.75">
      <c r="B2" s="21" t="s">
        <v>307</v>
      </c>
    </row>
    <row r="4" spans="3:11" ht="14.25">
      <c r="C4" s="160">
        <f>(632.7*(POWER('Torque &amp; SHP'!C12,0.2)))/(POWER('Torque &amp; SHP'!C13,0.6))</f>
        <v>33.75581279821549</v>
      </c>
      <c r="D4" s="8" t="s">
        <v>308</v>
      </c>
      <c r="G4" s="161">
        <f>C4-1</f>
        <v>32.75581279821549</v>
      </c>
      <c r="H4" s="162"/>
      <c r="I4" s="163">
        <f>G4-1</f>
        <v>31.755812798215487</v>
      </c>
      <c r="J4" s="162"/>
      <c r="K4" s="164">
        <f>I4-1</f>
        <v>30.755812798215487</v>
      </c>
    </row>
    <row r="5" spans="3:11" ht="12.75">
      <c r="C5" s="32"/>
      <c r="G5" s="165" t="s">
        <v>309</v>
      </c>
      <c r="H5" s="166"/>
      <c r="I5" s="166"/>
      <c r="J5" s="166"/>
      <c r="K5" s="167"/>
    </row>
    <row r="6" spans="3:11" ht="14.25">
      <c r="C6" s="160">
        <f>'Prop Pitch'!C16</f>
        <v>23.96430524416301</v>
      </c>
      <c r="D6" s="8" t="s">
        <v>310</v>
      </c>
      <c r="G6" s="168">
        <f>C6+2.5</f>
        <v>26.46430524416301</v>
      </c>
      <c r="H6" s="169"/>
      <c r="I6" s="170">
        <f>G6+2.5</f>
        <v>28.96430524416301</v>
      </c>
      <c r="J6" s="169"/>
      <c r="K6" s="171">
        <f>I6+2.5</f>
        <v>31.46430524416301</v>
      </c>
    </row>
    <row r="7" spans="3:11" ht="12.75">
      <c r="C7" s="32"/>
      <c r="K7" s="68"/>
    </row>
    <row r="8" spans="3:11" ht="12.75">
      <c r="C8" s="32"/>
      <c r="F8" s="172">
        <f>'Input Data Here'!G10</f>
        <v>40</v>
      </c>
      <c r="G8" s="107" t="s">
        <v>311</v>
      </c>
      <c r="H8" s="108"/>
      <c r="K8" s="30"/>
    </row>
    <row r="9" spans="3:11" ht="12.75">
      <c r="C9" s="32"/>
      <c r="D9" s="173"/>
      <c r="K9" s="86"/>
    </row>
    <row r="10" spans="3:11" ht="12.75">
      <c r="C10" s="174" t="s">
        <v>312</v>
      </c>
      <c r="D10" s="107"/>
      <c r="E10" s="107"/>
      <c r="F10" s="107"/>
      <c r="G10" s="107"/>
      <c r="H10" s="107"/>
      <c r="I10" s="107"/>
      <c r="J10" s="107"/>
      <c r="K10" s="108"/>
    </row>
    <row r="12" spans="3:4" ht="12.75">
      <c r="C12" s="58" t="s">
        <v>313</v>
      </c>
      <c r="D12" s="61"/>
    </row>
    <row r="13" spans="3:4" ht="12.75">
      <c r="C13" s="61"/>
      <c r="D13" s="61" t="s">
        <v>314</v>
      </c>
    </row>
    <row r="14" spans="3:4" ht="12.75">
      <c r="C14" s="61"/>
      <c r="D14" s="61" t="s">
        <v>315</v>
      </c>
    </row>
    <row r="16" ht="12.75">
      <c r="C16" s="8" t="s">
        <v>316</v>
      </c>
    </row>
    <row r="17" ht="12.75">
      <c r="C17" s="8" t="s">
        <v>317</v>
      </c>
    </row>
    <row r="18" spans="4:6" ht="12.75">
      <c r="D18" s="17"/>
      <c r="F18" s="17"/>
    </row>
    <row r="20" ht="12.75">
      <c r="B20" s="4" t="s">
        <v>318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C3:I13"/>
  <sheetViews>
    <sheetView showGridLines="0" workbookViewId="0" topLeftCell="A1">
      <selection activeCell="D3" sqref="D3"/>
    </sheetView>
  </sheetViews>
  <sheetFormatPr defaultColWidth="9.140625" defaultRowHeight="12.75"/>
  <sheetData>
    <row r="3" spans="3:5" ht="12.75">
      <c r="C3" s="8" t="s">
        <v>319</v>
      </c>
      <c r="E3" s="8" t="s">
        <v>320</v>
      </c>
    </row>
    <row r="5" spans="4:9" ht="12.75">
      <c r="D5" s="102">
        <f>'Pitch vs Dia'!C4*1.05</f>
        <v>35.44360343812626</v>
      </c>
      <c r="E5" s="8" t="s">
        <v>321</v>
      </c>
      <c r="G5" s="175">
        <f>D5-1</f>
        <v>34.44360343812626</v>
      </c>
      <c r="I5" s="175">
        <f>G5-1</f>
        <v>33.44360343812626</v>
      </c>
    </row>
    <row r="6" spans="4:9" ht="12.75">
      <c r="D6" s="102">
        <f>'Pitch vs Dia'!C6*1.01</f>
        <v>24.20394829660464</v>
      </c>
      <c r="E6" s="8" t="s">
        <v>322</v>
      </c>
      <c r="G6" s="175">
        <f>D6+2.5</f>
        <v>26.70394829660464</v>
      </c>
      <c r="I6" s="175">
        <f>G6+2.5</f>
        <v>29.20394829660464</v>
      </c>
    </row>
    <row r="8" spans="3:5" ht="12.75">
      <c r="C8" s="8" t="s">
        <v>323</v>
      </c>
      <c r="E8" s="8" t="s">
        <v>320</v>
      </c>
    </row>
    <row r="10" spans="4:9" ht="12.75">
      <c r="D10" s="102">
        <f>'Pitch vs Dia'!C4*0.94</f>
        <v>31.730464030322555</v>
      </c>
      <c r="E10" s="8" t="s">
        <v>321</v>
      </c>
      <c r="G10" s="175">
        <f>D10-1</f>
        <v>30.730464030322555</v>
      </c>
      <c r="I10" s="175">
        <f>G10-1</f>
        <v>29.730464030322555</v>
      </c>
    </row>
    <row r="11" spans="4:9" ht="12.75">
      <c r="D11" s="102">
        <f>'Pitch vs Dia'!C6*0.98</f>
        <v>23.48501913927975</v>
      </c>
      <c r="E11" s="8" t="s">
        <v>322</v>
      </c>
      <c r="G11" s="175">
        <f>D11+2.5</f>
        <v>25.98501913927975</v>
      </c>
      <c r="I11" s="175">
        <f>G11+2.5</f>
        <v>28.48501913927975</v>
      </c>
    </row>
    <row r="12" ht="12.75">
      <c r="D12" s="17"/>
    </row>
    <row r="13" spans="4:5" ht="12.75">
      <c r="D13" s="62">
        <f>'Pitch vs Dia'!F8</f>
        <v>40</v>
      </c>
      <c r="E13" s="8" t="s">
        <v>311</v>
      </c>
    </row>
    <row r="24" ht="14.2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B2:E23"/>
  <sheetViews>
    <sheetView showGridLines="0" workbookViewId="0" topLeftCell="A1">
      <selection activeCell="D12" sqref="D12"/>
    </sheetView>
  </sheetViews>
  <sheetFormatPr defaultColWidth="9.140625" defaultRowHeight="12.75"/>
  <cols>
    <col min="4" max="4" width="10.00390625" style="8" customWidth="1"/>
  </cols>
  <sheetData>
    <row r="2" spans="2:4" ht="15.75">
      <c r="B2" s="11" t="s">
        <v>324</v>
      </c>
      <c r="D2" s="6" t="s">
        <v>12</v>
      </c>
    </row>
    <row r="4" ht="12.75">
      <c r="C4" s="58" t="s">
        <v>163</v>
      </c>
    </row>
    <row r="5" spans="4:5" ht="12.75">
      <c r="D5" s="58" t="s">
        <v>325</v>
      </c>
      <c r="E5" s="58"/>
    </row>
    <row r="6" spans="4:5" ht="12.75">
      <c r="D6" s="58"/>
      <c r="E6" s="58" t="s">
        <v>326</v>
      </c>
    </row>
    <row r="7" spans="4:5" ht="12.75">
      <c r="D7" s="58"/>
      <c r="E7" s="58" t="s">
        <v>327</v>
      </c>
    </row>
    <row r="9" spans="4:5" ht="12.75">
      <c r="D9" s="176">
        <v>6E-08</v>
      </c>
      <c r="E9" s="8" t="s">
        <v>328</v>
      </c>
    </row>
    <row r="10" spans="3:5" ht="12.75">
      <c r="C10" s="62">
        <f>'Input Data Here'!C6/'Input Data Here'!C10</f>
        <v>734.2657342657343</v>
      </c>
      <c r="E10" s="8" t="s">
        <v>329</v>
      </c>
    </row>
    <row r="11" spans="4:5" ht="12.75">
      <c r="D11" s="177">
        <v>3</v>
      </c>
      <c r="E11" s="8" t="s">
        <v>330</v>
      </c>
    </row>
    <row r="12" spans="4:5" ht="12.75">
      <c r="D12" s="178">
        <f>POWER(C10,D11)</f>
        <v>395876557.30254394</v>
      </c>
      <c r="E12" s="8" t="s">
        <v>331</v>
      </c>
    </row>
    <row r="13" spans="4:5" ht="13.5">
      <c r="D13" s="65">
        <f>D12*D9</f>
        <v>23.752593438152633</v>
      </c>
      <c r="E13" s="8" t="s">
        <v>332</v>
      </c>
    </row>
    <row r="16" ht="12.75">
      <c r="C16" s="21" t="s">
        <v>333</v>
      </c>
    </row>
    <row r="17" ht="12.75">
      <c r="C17" s="21" t="s">
        <v>334</v>
      </c>
    </row>
    <row r="18" ht="12.75">
      <c r="C18" s="21" t="s">
        <v>335</v>
      </c>
    </row>
    <row r="19" ht="12.75">
      <c r="C19" s="21" t="s">
        <v>336</v>
      </c>
    </row>
    <row r="21" ht="12.75">
      <c r="C21" s="21" t="s">
        <v>337</v>
      </c>
    </row>
    <row r="23" ht="12.75">
      <c r="C23" s="21" t="s">
        <v>338</v>
      </c>
    </row>
  </sheetData>
  <sheetProtection selectLockedCells="1" selectUnlockedCells="1"/>
  <hyperlinks>
    <hyperlink ref="D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/>
  <dimension ref="B2:F14"/>
  <sheetViews>
    <sheetView showGridLines="0" workbookViewId="0" topLeftCell="A1">
      <selection activeCell="K5" sqref="K5"/>
    </sheetView>
  </sheetViews>
  <sheetFormatPr defaultColWidth="9.140625" defaultRowHeight="12.75"/>
  <sheetData>
    <row r="2" spans="2:5" ht="15.75">
      <c r="B2" s="11" t="s">
        <v>339</v>
      </c>
      <c r="E2" s="6" t="s">
        <v>12</v>
      </c>
    </row>
    <row r="4" ht="12.75">
      <c r="C4" s="58" t="s">
        <v>163</v>
      </c>
    </row>
    <row r="5" ht="12.75">
      <c r="D5" s="58" t="s">
        <v>340</v>
      </c>
    </row>
    <row r="6" ht="12.75">
      <c r="E6" s="58" t="s">
        <v>341</v>
      </c>
    </row>
    <row r="7" ht="12.75">
      <c r="E7" s="58" t="s">
        <v>342</v>
      </c>
    </row>
    <row r="8" ht="12.75">
      <c r="F8" s="61" t="s">
        <v>343</v>
      </c>
    </row>
    <row r="10" ht="12.75">
      <c r="C10" s="8" t="s">
        <v>344</v>
      </c>
    </row>
    <row r="11" ht="12.75">
      <c r="C11" s="8" t="s">
        <v>345</v>
      </c>
    </row>
    <row r="12" ht="12.75">
      <c r="C12" s="8" t="s">
        <v>346</v>
      </c>
    </row>
    <row r="14" ht="12.75">
      <c r="C14" s="8" t="s">
        <v>347</v>
      </c>
    </row>
  </sheetData>
  <sheetProtection selectLockedCells="1" selectUnlockedCells="1"/>
  <hyperlinks>
    <hyperlink ref="E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"/>
  <dimension ref="B2:K21"/>
  <sheetViews>
    <sheetView showGridLines="0" workbookViewId="0" topLeftCell="A1">
      <selection activeCell="I26" sqref="I26"/>
    </sheetView>
  </sheetViews>
  <sheetFormatPr defaultColWidth="9.140625" defaultRowHeight="12.75"/>
  <cols>
    <col min="9" max="9" width="17.140625" style="8" customWidth="1"/>
  </cols>
  <sheetData>
    <row r="2" spans="2:6" ht="15.75">
      <c r="B2" s="11" t="s">
        <v>348</v>
      </c>
      <c r="F2" s="6" t="s">
        <v>12</v>
      </c>
    </row>
    <row r="3" ht="13.5"/>
    <row r="4" spans="2:11" ht="12.75">
      <c r="B4" s="179">
        <v>1</v>
      </c>
      <c r="C4" s="180" t="s">
        <v>349</v>
      </c>
      <c r="D4" s="181"/>
      <c r="E4" s="182">
        <f>B4*3.28</f>
        <v>3.28</v>
      </c>
      <c r="F4" s="180" t="s">
        <v>350</v>
      </c>
      <c r="G4" s="183"/>
      <c r="I4" s="184" t="s">
        <v>351</v>
      </c>
      <c r="J4" s="183"/>
      <c r="K4" s="114"/>
    </row>
    <row r="5" spans="2:11" ht="12.75">
      <c r="B5" s="185">
        <v>1</v>
      </c>
      <c r="C5" s="186" t="s">
        <v>352</v>
      </c>
      <c r="D5" s="114"/>
      <c r="E5" s="187">
        <f>B5*2.2045</f>
        <v>2.2045</v>
      </c>
      <c r="F5" s="186" t="s">
        <v>353</v>
      </c>
      <c r="G5" s="188"/>
      <c r="I5" s="189" t="s">
        <v>354</v>
      </c>
      <c r="J5" s="188"/>
      <c r="K5" s="114"/>
    </row>
    <row r="6" spans="2:11" ht="12.75">
      <c r="B6" s="185">
        <v>1</v>
      </c>
      <c r="C6" s="186" t="s">
        <v>355</v>
      </c>
      <c r="D6" s="114"/>
      <c r="E6" s="187">
        <f>B6*7.23</f>
        <v>7.23</v>
      </c>
      <c r="F6" s="186" t="s">
        <v>356</v>
      </c>
      <c r="G6" s="188"/>
      <c r="I6" s="189" t="s">
        <v>357</v>
      </c>
      <c r="J6" s="188"/>
      <c r="K6" s="114"/>
    </row>
    <row r="7" spans="2:11" ht="13.5">
      <c r="B7" s="185">
        <v>1</v>
      </c>
      <c r="C7" s="186" t="s">
        <v>358</v>
      </c>
      <c r="D7" s="114"/>
      <c r="E7" s="187">
        <f>B7/0.746</f>
        <v>1.3404825737265416</v>
      </c>
      <c r="F7" s="186" t="s">
        <v>359</v>
      </c>
      <c r="G7" s="188"/>
      <c r="I7" s="190" t="s">
        <v>360</v>
      </c>
      <c r="J7" s="191"/>
      <c r="K7" s="114"/>
    </row>
    <row r="8" spans="2:7" ht="12.75">
      <c r="B8" s="185">
        <v>1</v>
      </c>
      <c r="C8" s="186" t="s">
        <v>361</v>
      </c>
      <c r="D8" s="114"/>
      <c r="E8" s="187">
        <f>B8*35.287552</f>
        <v>35.287552</v>
      </c>
      <c r="F8" s="186" t="s">
        <v>362</v>
      </c>
      <c r="G8" s="188"/>
    </row>
    <row r="9" spans="2:7" ht="13.5">
      <c r="B9" s="185">
        <v>1</v>
      </c>
      <c r="C9" s="186" t="s">
        <v>363</v>
      </c>
      <c r="D9" s="114"/>
      <c r="E9" s="187">
        <f>B9*14.2</f>
        <v>14.2</v>
      </c>
      <c r="F9" s="186" t="s">
        <v>364</v>
      </c>
      <c r="G9" s="188"/>
    </row>
    <row r="10" spans="2:10" ht="13.5">
      <c r="B10" s="192">
        <v>1</v>
      </c>
      <c r="C10" s="193" t="s">
        <v>365</v>
      </c>
      <c r="D10" s="194"/>
      <c r="E10" s="195">
        <f>B10*0.91111111</f>
        <v>0.91111111</v>
      </c>
      <c r="F10" s="193" t="s">
        <v>366</v>
      </c>
      <c r="G10" s="191"/>
      <c r="I10" s="196">
        <f>4*ATAN(1)</f>
        <v>3.141592653589793</v>
      </c>
      <c r="J10" s="197" t="s">
        <v>367</v>
      </c>
    </row>
    <row r="11" ht="13.5"/>
    <row r="12" spans="2:10" ht="12.75">
      <c r="B12" s="198">
        <v>3</v>
      </c>
      <c r="C12" s="180" t="s">
        <v>368</v>
      </c>
      <c r="D12" s="183"/>
      <c r="F12" s="184" t="s">
        <v>369</v>
      </c>
      <c r="G12" s="181"/>
      <c r="H12" s="181"/>
      <c r="I12" s="199" t="s">
        <v>370</v>
      </c>
      <c r="J12" s="200">
        <v>11.24</v>
      </c>
    </row>
    <row r="13" spans="2:10" ht="12.75">
      <c r="B13" s="189"/>
      <c r="C13" s="186"/>
      <c r="D13" s="188"/>
      <c r="F13" s="201">
        <v>16</v>
      </c>
      <c r="G13" s="114" t="s">
        <v>371</v>
      </c>
      <c r="H13" s="114"/>
      <c r="I13" s="202" t="s">
        <v>372</v>
      </c>
      <c r="J13" s="203">
        <v>9.67</v>
      </c>
    </row>
    <row r="14" spans="2:10" ht="12.75">
      <c r="B14" s="204">
        <f>POWER(B12,2)</f>
        <v>9</v>
      </c>
      <c r="C14" s="186" t="s">
        <v>373</v>
      </c>
      <c r="D14" s="188"/>
      <c r="F14" s="205">
        <v>0.3</v>
      </c>
      <c r="G14" s="114" t="s">
        <v>374</v>
      </c>
      <c r="H14" s="114"/>
      <c r="I14" s="202"/>
      <c r="J14" s="188"/>
    </row>
    <row r="15" spans="2:10" ht="13.5">
      <c r="B15" s="204">
        <f>POWER(B12,3)</f>
        <v>27</v>
      </c>
      <c r="C15" s="186" t="s">
        <v>375</v>
      </c>
      <c r="D15" s="188"/>
      <c r="F15" s="206">
        <f>F13*F14</f>
        <v>4.8</v>
      </c>
      <c r="G15" s="194" t="s">
        <v>376</v>
      </c>
      <c r="H15" s="194"/>
      <c r="I15" s="202" t="s">
        <v>377</v>
      </c>
      <c r="J15" s="207">
        <f>J12*J13</f>
        <v>108.6908</v>
      </c>
    </row>
    <row r="16" spans="2:10" ht="12.75">
      <c r="B16" s="204">
        <f>POWER(B12,0.5)</f>
        <v>1.7320508075688772</v>
      </c>
      <c r="C16" s="186" t="s">
        <v>378</v>
      </c>
      <c r="D16" s="188"/>
      <c r="F16" s="184" t="s">
        <v>379</v>
      </c>
      <c r="G16" s="181"/>
      <c r="H16" s="181"/>
      <c r="I16" s="202" t="s">
        <v>380</v>
      </c>
      <c r="J16" s="207">
        <f>J12/J13</f>
        <v>1.1623578076525336</v>
      </c>
    </row>
    <row r="17" spans="2:10" ht="13.5">
      <c r="B17" s="204">
        <f>POWER(B12,0.3333333333333)</f>
        <v>1.4422495703073557</v>
      </c>
      <c r="C17" s="186" t="s">
        <v>381</v>
      </c>
      <c r="D17" s="188"/>
      <c r="F17" s="208">
        <v>13</v>
      </c>
      <c r="G17" s="114"/>
      <c r="H17" s="114"/>
      <c r="I17" s="202" t="s">
        <v>382</v>
      </c>
      <c r="J17" s="207">
        <f>J12+J13</f>
        <v>20.91</v>
      </c>
    </row>
    <row r="18" spans="2:10" ht="13.5">
      <c r="B18" s="189"/>
      <c r="C18" s="186"/>
      <c r="D18" s="188"/>
      <c r="F18" s="208">
        <v>16</v>
      </c>
      <c r="G18" s="209" t="s">
        <v>383</v>
      </c>
      <c r="H18" s="210">
        <f>F17/F18</f>
        <v>0.8125</v>
      </c>
      <c r="I18" s="211" t="s">
        <v>384</v>
      </c>
      <c r="J18" s="212">
        <f>J12-J13</f>
        <v>1.5700000000000003</v>
      </c>
    </row>
    <row r="19" spans="2:4" ht="12.75">
      <c r="B19" s="205">
        <v>2.5</v>
      </c>
      <c r="C19" s="186" t="s">
        <v>385</v>
      </c>
      <c r="D19" s="188"/>
    </row>
    <row r="20" spans="2:4" ht="12.75">
      <c r="B20" s="189"/>
      <c r="C20" s="186"/>
      <c r="D20" s="188"/>
    </row>
    <row r="21" spans="2:6" ht="13.5">
      <c r="B21" s="213">
        <f>POWER(B12,B19)</f>
        <v>15.588457268119896</v>
      </c>
      <c r="C21" s="193" t="s">
        <v>386</v>
      </c>
      <c r="D21" s="191"/>
      <c r="F21" s="22" t="s">
        <v>387</v>
      </c>
    </row>
  </sheetData>
  <sheetProtection selectLockedCells="1" selectUnlockedCells="1"/>
  <hyperlinks>
    <hyperlink ref="F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C2:K17"/>
  <sheetViews>
    <sheetView showGridLines="0" workbookViewId="0" topLeftCell="A1">
      <selection activeCell="C7" sqref="C7"/>
    </sheetView>
  </sheetViews>
  <sheetFormatPr defaultColWidth="9.140625" defaultRowHeight="12.75"/>
  <cols>
    <col min="3" max="3" width="12.421875" style="8" customWidth="1"/>
  </cols>
  <sheetData>
    <row r="2" ht="12.75">
      <c r="C2" s="19" t="s">
        <v>388</v>
      </c>
    </row>
    <row r="3" ht="12.75">
      <c r="C3" s="214" t="s">
        <v>389</v>
      </c>
    </row>
    <row r="5" spans="3:4" ht="12.75">
      <c r="C5" s="103">
        <f>'Input Data Here'!G4</f>
        <v>500000</v>
      </c>
      <c r="D5" s="20" t="s">
        <v>390</v>
      </c>
    </row>
    <row r="6" spans="3:4" ht="12.75">
      <c r="C6" s="62">
        <f>'Input Data Here'!G5</f>
        <v>92</v>
      </c>
      <c r="D6" s="8" t="s">
        <v>391</v>
      </c>
    </row>
    <row r="7" spans="3:4" ht="12.75">
      <c r="C7" s="62">
        <f>'Input Data Here'!G8</f>
        <v>9</v>
      </c>
      <c r="D7" s="8" t="s">
        <v>392</v>
      </c>
    </row>
    <row r="8" ht="12.75">
      <c r="C8" s="67"/>
    </row>
    <row r="9" spans="3:4" ht="13.5">
      <c r="C9" s="215">
        <f>C7/(SQRT(C6))</f>
        <v>0.9383148632568366</v>
      </c>
      <c r="D9" s="20" t="s">
        <v>393</v>
      </c>
    </row>
    <row r="10" spans="3:4" ht="12.75">
      <c r="C10" s="216"/>
      <c r="D10" s="20"/>
    </row>
    <row r="11" spans="4:11" ht="13.5">
      <c r="D11" s="214" t="s">
        <v>394</v>
      </c>
      <c r="J11" s="63">
        <f>1.5*(SQRT(C6))</f>
        <v>14.387494569938157</v>
      </c>
      <c r="K11" s="20" t="s">
        <v>395</v>
      </c>
    </row>
    <row r="13" spans="3:4" ht="12.75">
      <c r="C13" s="62">
        <f>'Torque &amp; SHP'!C12</f>
        <v>171.125</v>
      </c>
      <c r="D13" s="8" t="s">
        <v>396</v>
      </c>
    </row>
    <row r="14" spans="3:4" ht="12.75">
      <c r="C14" s="100">
        <f>C5/C13</f>
        <v>2921.8407596785974</v>
      </c>
      <c r="D14" s="8" t="s">
        <v>397</v>
      </c>
    </row>
    <row r="16" spans="3:4" ht="12.75">
      <c r="C16" s="217">
        <f>C5/POWER(10.665/C9,3)</f>
        <v>340.51262000827506</v>
      </c>
      <c r="D16" s="8" t="s">
        <v>398</v>
      </c>
    </row>
    <row r="17" spans="3:4" ht="13.5">
      <c r="C17" s="218">
        <f>C5/C16</f>
        <v>1468.3743586004216</v>
      </c>
      <c r="D17" s="8" t="s">
        <v>399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K24"/>
  <sheetViews>
    <sheetView showGridLines="0" tabSelected="1" workbookViewId="0" topLeftCell="A1">
      <selection activeCell="C10" sqref="C10"/>
    </sheetView>
  </sheetViews>
  <sheetFormatPr defaultColWidth="9.140625" defaultRowHeight="12.75"/>
  <cols>
    <col min="6" max="6" width="10.140625" style="8" customWidth="1"/>
  </cols>
  <sheetData>
    <row r="2" spans="2:7" ht="15.75">
      <c r="B2" s="11" t="s">
        <v>6</v>
      </c>
      <c r="E2" s="6" t="s">
        <v>12</v>
      </c>
      <c r="G2" s="21"/>
    </row>
    <row r="4" spans="3:8" ht="12.75">
      <c r="C4" s="24">
        <v>2</v>
      </c>
      <c r="D4" s="8" t="s">
        <v>97</v>
      </c>
      <c r="G4" s="25">
        <v>500000</v>
      </c>
      <c r="H4" s="8" t="s">
        <v>98</v>
      </c>
    </row>
    <row r="5" spans="3:8" ht="12.75">
      <c r="C5" s="24">
        <v>185</v>
      </c>
      <c r="D5" s="8" t="s">
        <v>99</v>
      </c>
      <c r="G5" s="26">
        <v>92</v>
      </c>
      <c r="H5" s="8" t="s">
        <v>100</v>
      </c>
    </row>
    <row r="6" spans="3:8" ht="12.75">
      <c r="C6" s="24">
        <v>2100</v>
      </c>
      <c r="D6" s="8" t="s">
        <v>101</v>
      </c>
      <c r="G6" s="26">
        <v>21.6</v>
      </c>
      <c r="H6" s="8" t="s">
        <v>102</v>
      </c>
    </row>
    <row r="7" spans="7:8" ht="12.75">
      <c r="G7" s="26">
        <v>8.3</v>
      </c>
      <c r="H7" s="8" t="s">
        <v>103</v>
      </c>
    </row>
    <row r="8" spans="3:8" ht="12.75">
      <c r="C8" s="24">
        <v>1</v>
      </c>
      <c r="D8" s="8" t="s">
        <v>104</v>
      </c>
      <c r="G8" s="24">
        <v>9</v>
      </c>
      <c r="H8" s="8" t="s">
        <v>105</v>
      </c>
    </row>
    <row r="9" spans="3:9" ht="12.75">
      <c r="C9" s="24">
        <v>3</v>
      </c>
      <c r="D9" s="8" t="s">
        <v>106</v>
      </c>
      <c r="G9" s="27">
        <v>150</v>
      </c>
      <c r="H9" s="8" t="s">
        <v>107</v>
      </c>
      <c r="I9" s="28" t="s">
        <v>108</v>
      </c>
    </row>
    <row r="10" spans="3:8" ht="12.75">
      <c r="C10" s="29">
        <v>2.86</v>
      </c>
      <c r="D10" s="17" t="s">
        <v>109</v>
      </c>
      <c r="G10" s="24">
        <v>40</v>
      </c>
      <c r="H10" s="8" t="s">
        <v>110</v>
      </c>
    </row>
    <row r="11" spans="3:10" ht="12.75">
      <c r="C11" s="30"/>
      <c r="D11" s="31"/>
      <c r="E11" s="31"/>
      <c r="F11" s="31"/>
      <c r="G11" s="32"/>
      <c r="H11" s="33"/>
      <c r="I11" s="17"/>
      <c r="J11" s="17"/>
    </row>
    <row r="12" ht="12.75">
      <c r="D12" s="28" t="s">
        <v>111</v>
      </c>
    </row>
    <row r="14" ht="15.75">
      <c r="B14" s="11" t="s">
        <v>112</v>
      </c>
    </row>
    <row r="16" spans="3:11" ht="14.25">
      <c r="C16" s="34">
        <f>C4</f>
        <v>2</v>
      </c>
      <c r="D16" s="35" t="s">
        <v>113</v>
      </c>
      <c r="E16" s="35"/>
      <c r="F16" s="36">
        <f>'MWR &amp; DAR'!K12</f>
        <v>33.75581279821549</v>
      </c>
      <c r="G16" s="37" t="s">
        <v>114</v>
      </c>
      <c r="H16" s="36">
        <f>'Prop Pitch'!C16</f>
        <v>23.96430524416301</v>
      </c>
      <c r="I16" s="8" t="s">
        <v>115</v>
      </c>
      <c r="K16" s="38">
        <f>'MWR &amp; DAR'!K17</f>
        <v>0.33</v>
      </c>
    </row>
    <row r="17" spans="3:9" ht="12.75">
      <c r="C17" s="39" t="s">
        <v>116</v>
      </c>
      <c r="D17" s="40">
        <f>'Shaft material'!E15</f>
        <v>6</v>
      </c>
      <c r="E17" s="37" t="s">
        <v>117</v>
      </c>
      <c r="F17" s="41">
        <f>'Shaft dia'!D18</f>
        <v>2.238818208135762</v>
      </c>
      <c r="G17" s="8" t="s">
        <v>114</v>
      </c>
      <c r="H17" s="42">
        <f>'Shaft bearings'!D12</f>
        <v>8.426493698140144</v>
      </c>
      <c r="I17" s="8" t="s">
        <v>118</v>
      </c>
    </row>
    <row r="18" spans="4:7" ht="12.75">
      <c r="D18" s="43" t="s">
        <v>119</v>
      </c>
      <c r="E18" s="34">
        <f>'Bollard thrust'!C7</f>
        <v>3932.4949673699293</v>
      </c>
      <c r="F18" s="8" t="s">
        <v>120</v>
      </c>
      <c r="G18" s="37"/>
    </row>
    <row r="19" spans="4:8" ht="12.75">
      <c r="D19" s="43"/>
      <c r="F19" s="44"/>
      <c r="H19" s="45"/>
    </row>
    <row r="20" spans="2:8" ht="15.75">
      <c r="B20" s="11" t="s">
        <v>121</v>
      </c>
      <c r="F20" s="44"/>
      <c r="H20" s="46"/>
    </row>
    <row r="22" spans="3:10" ht="12.75">
      <c r="C22" s="47">
        <f>IF(K16&gt;34%,"Ideal prop larger than max dia input","Ideal prop suitable")</f>
        <v>0</v>
      </c>
      <c r="D22" s="48"/>
      <c r="E22" s="48"/>
      <c r="F22" s="49"/>
      <c r="G22" s="47">
        <f>IF(OR(F16/H16&gt;3,H16/F16&gt;1.2),"bad pitch/dia. Check data","pitch/diameter OK")</f>
        <v>0</v>
      </c>
      <c r="H22" s="50"/>
      <c r="I22" s="50"/>
      <c r="J22" s="51"/>
    </row>
    <row r="23" spans="3:10" ht="12.75">
      <c r="C23" s="47">
        <f>IF(G8&lt;('Displacement Speed'!G9+0.5),"Reqd speed within limits for economy","Reqd speed uneconomical or impossible")</f>
        <v>0</v>
      </c>
      <c r="D23" s="52"/>
      <c r="E23" s="52"/>
      <c r="F23" s="53"/>
      <c r="G23" s="47">
        <f>IF(G4&gt;(64*G5*G6*G7),"Check max displacement - too high",".")</f>
        <v>0</v>
      </c>
      <c r="H23" s="48"/>
      <c r="I23" s="48"/>
      <c r="J23" s="54">
        <f>G5*G6*G7*64*0.5</f>
        <v>527800.3200000001</v>
      </c>
    </row>
    <row r="24" spans="3:10" ht="12.75">
      <c r="C24" s="47">
        <f>IF('Displacement Speed'!B19&gt;'Displacement Speed'!E19,"Insufficient motor power avail","Sufficient motor power available")</f>
        <v>0</v>
      </c>
      <c r="D24" s="52"/>
      <c r="E24" s="52"/>
      <c r="F24" s="53"/>
      <c r="G24" s="47">
        <f>IF(G4&lt;(64*G5*G6*G7*0.25),"Check max displacement - too low",".")</f>
        <v>0</v>
      </c>
      <c r="H24" s="48"/>
      <c r="I24" s="48"/>
      <c r="J24" s="49"/>
    </row>
  </sheetData>
  <sheetProtection selectLockedCells="1" selectUnlockedCells="1"/>
  <hyperlinks>
    <hyperlink ref="E2" location="'How To'!A1" display="How To"/>
    <hyperlink ref="C17" location="'Shaft material'!A1" display="materia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H11"/>
  <sheetViews>
    <sheetView showGridLines="0" workbookViewId="0" topLeftCell="A1">
      <selection activeCell="C7" sqref="C7"/>
    </sheetView>
  </sheetViews>
  <sheetFormatPr defaultColWidth="9.140625" defaultRowHeight="12.75"/>
  <sheetData>
    <row r="2" spans="2:6" ht="15.75">
      <c r="B2" s="11" t="s">
        <v>122</v>
      </c>
      <c r="F2" s="6" t="s">
        <v>12</v>
      </c>
    </row>
    <row r="4" spans="3:8" ht="12.75">
      <c r="C4" s="55">
        <f>'Prop Dia'!C13</f>
        <v>33.75581279821549</v>
      </c>
      <c r="D4" s="8" t="s">
        <v>123</v>
      </c>
      <c r="G4" s="55">
        <f>'Input Data Here'!C4</f>
        <v>2</v>
      </c>
      <c r="H4" s="8" t="s">
        <v>124</v>
      </c>
    </row>
    <row r="5" spans="3:4" ht="12.75">
      <c r="C5" s="55">
        <f>'Prop Pitch'!C16</f>
        <v>23.96430524416301</v>
      </c>
      <c r="D5" s="8" t="s">
        <v>125</v>
      </c>
    </row>
    <row r="6" spans="3:4" ht="12.75">
      <c r="C6" s="15">
        <v>3</v>
      </c>
      <c r="D6" s="8" t="s">
        <v>126</v>
      </c>
    </row>
    <row r="7" spans="3:4" ht="12.75">
      <c r="C7" s="56">
        <f>'Input Data Here'!K16</f>
        <v>0.33</v>
      </c>
      <c r="D7" s="8" t="s">
        <v>127</v>
      </c>
    </row>
    <row r="8" spans="3:4" ht="12.75">
      <c r="C8" s="55">
        <f>'Torque &amp; SHP'!C13</f>
        <v>734.2657342657343</v>
      </c>
      <c r="D8" s="8" t="s">
        <v>128</v>
      </c>
    </row>
    <row r="9" spans="3:4" ht="12.75">
      <c r="C9" s="55">
        <f>'Prop weight'!D8</f>
        <v>110.53000259911585</v>
      </c>
      <c r="D9" s="8" t="s">
        <v>129</v>
      </c>
    </row>
    <row r="10" spans="3:4" ht="12.75">
      <c r="C10" s="57">
        <f>'Shaft dia'!D18</f>
        <v>2.238818208135762</v>
      </c>
      <c r="D10" s="8" t="s">
        <v>130</v>
      </c>
    </row>
    <row r="11" spans="3:4" ht="12.75">
      <c r="C11" s="55">
        <f>'Bollard thrust'!C7</f>
        <v>3932.4949673699293</v>
      </c>
      <c r="D11" s="8" t="s">
        <v>131</v>
      </c>
    </row>
  </sheetData>
  <sheetProtection selectLockedCells="1" selectUnlockedCells="1"/>
  <hyperlinks>
    <hyperlink ref="F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K21"/>
  <sheetViews>
    <sheetView showGridLines="0" workbookViewId="0" topLeftCell="A4">
      <selection activeCell="K24" sqref="K24"/>
    </sheetView>
  </sheetViews>
  <sheetFormatPr defaultColWidth="9.140625" defaultRowHeight="12.75"/>
  <sheetData>
    <row r="2" spans="2:9" ht="15.75">
      <c r="B2" s="11" t="s">
        <v>132</v>
      </c>
      <c r="E2" s="6" t="s">
        <v>12</v>
      </c>
      <c r="I2" s="17"/>
    </row>
    <row r="4" spans="3:4" ht="12.75">
      <c r="C4" s="58" t="s">
        <v>133</v>
      </c>
      <c r="D4" s="58"/>
    </row>
    <row r="5" spans="3:4" ht="12.75">
      <c r="C5" s="59"/>
      <c r="D5" s="58" t="s">
        <v>134</v>
      </c>
    </row>
    <row r="6" spans="2:4" ht="12.75">
      <c r="B6" s="30"/>
      <c r="C6" s="60"/>
      <c r="D6" s="58"/>
    </row>
    <row r="7" spans="2:4" ht="12.75">
      <c r="B7" s="30"/>
      <c r="D7" s="61" t="s">
        <v>135</v>
      </c>
    </row>
    <row r="8" spans="2:6" ht="12.75">
      <c r="B8" s="30"/>
      <c r="F8" s="32"/>
    </row>
    <row r="9" spans="2:8" ht="13.5">
      <c r="B9" s="62">
        <f>'Input Data Here'!C5</f>
        <v>185</v>
      </c>
      <c r="C9" s="8" t="s">
        <v>136</v>
      </c>
      <c r="D9" s="62">
        <f>'Input Data Here'!C4</f>
        <v>2</v>
      </c>
      <c r="E9" s="8" t="s">
        <v>137</v>
      </c>
      <c r="F9" s="32"/>
      <c r="G9" s="63">
        <f>1.5*SQRT('Input Data Here'!G5)</f>
        <v>14.387494569938157</v>
      </c>
      <c r="H9" s="8" t="s">
        <v>138</v>
      </c>
    </row>
    <row r="10" spans="2:8" ht="12.75">
      <c r="B10" s="64">
        <f>(('Input Data Here'!C9*1.5)+('Input Data Here'!C8*3))</f>
        <v>7.5</v>
      </c>
      <c r="C10" s="8" t="s">
        <v>139</v>
      </c>
      <c r="F10" s="32"/>
      <c r="G10" s="62">
        <f>'Input Data Here'!G8</f>
        <v>9</v>
      </c>
      <c r="H10" s="8" t="s">
        <v>140</v>
      </c>
    </row>
    <row r="11" spans="2:7" ht="13.5">
      <c r="B11" s="65">
        <f>(B9*(100-B10))/100</f>
        <v>171.125</v>
      </c>
      <c r="C11" s="8" t="s">
        <v>141</v>
      </c>
      <c r="F11" s="32"/>
      <c r="G11" s="30"/>
    </row>
    <row r="12" spans="2:10" ht="12.75">
      <c r="B12" s="66"/>
      <c r="F12" s="67"/>
      <c r="G12" s="30"/>
      <c r="H12" s="31"/>
      <c r="I12" s="31"/>
      <c r="J12" s="31"/>
    </row>
    <row r="13" spans="2:11" ht="12.75">
      <c r="B13" s="32"/>
      <c r="F13" s="68"/>
      <c r="K13" s="32"/>
    </row>
    <row r="14" spans="2:11" ht="13.5">
      <c r="B14" s="69">
        <f>'Input Data Here'!G8/SQRT('Input Data Here'!G5)</f>
        <v>0.9383148632568366</v>
      </c>
      <c r="C14" s="20" t="s">
        <v>142</v>
      </c>
      <c r="G14" s="70">
        <f>10.665/(POWER('Input Data Here'!G4/('Input Data Here'!C4*'Displacement Speed'!B11),0.33333333333333))</f>
        <v>0.9399079953252777</v>
      </c>
      <c r="H14" s="8" t="s">
        <v>143</v>
      </c>
      <c r="K14" s="32"/>
    </row>
    <row r="15" spans="2:11" ht="12.75">
      <c r="B15" s="66"/>
      <c r="D15" s="31"/>
      <c r="E15" s="31"/>
      <c r="F15" s="31"/>
      <c r="G15" s="70">
        <f>AVERAGE(G14,B14)</f>
        <v>0.9391114292910572</v>
      </c>
      <c r="H15" s="8" t="s">
        <v>144</v>
      </c>
      <c r="J15" s="71"/>
      <c r="K15" s="32"/>
    </row>
    <row r="16" spans="2:11" ht="12.75">
      <c r="B16" s="32"/>
      <c r="D16" s="72"/>
      <c r="K16" s="32"/>
    </row>
    <row r="17" spans="2:11" ht="12.75">
      <c r="B17" s="32"/>
      <c r="C17" s="73">
        <f>'Input Data Here'!G4/POWER(10.665/G15,3)</f>
        <v>341.3805731706313</v>
      </c>
      <c r="D17" s="8" t="s">
        <v>145</v>
      </c>
      <c r="K17" s="32"/>
    </row>
    <row r="18" spans="2:11" ht="12.75">
      <c r="B18" s="67"/>
      <c r="K18" s="32"/>
    </row>
    <row r="19" spans="2:11" ht="13.5">
      <c r="B19" s="65">
        <f>'Input Data Here'!G4/POWER(10.665/B14,3)</f>
        <v>340.51262000827506</v>
      </c>
      <c r="C19" s="8" t="s">
        <v>146</v>
      </c>
      <c r="E19" s="74">
        <f>B11*D9</f>
        <v>342.25</v>
      </c>
      <c r="F19" s="8" t="s">
        <v>147</v>
      </c>
      <c r="H19" s="75">
        <f>E19-B19</f>
        <v>1.7373799917249357</v>
      </c>
      <c r="I19" s="8" t="s">
        <v>148</v>
      </c>
      <c r="K19" s="32"/>
    </row>
    <row r="20" spans="2:11" ht="12.75">
      <c r="B20" s="76"/>
      <c r="E20" s="77"/>
      <c r="K20" s="32"/>
    </row>
    <row r="21" spans="2:11" ht="12.75">
      <c r="B21" s="78"/>
      <c r="C21" s="52"/>
      <c r="D21" s="52"/>
      <c r="E21" s="79">
        <f>IF(E19&gt;B19,"No Warnings. Sufficient SHP Available","WARNING! Insufficient SHP Available!")</f>
        <v>0</v>
      </c>
      <c r="G21" s="78">
        <f>IF(INT(G10)&gt;INT(G9+0.5),"Reqd speed uneconomical or impractical","Reqd speed within limits for economy")</f>
        <v>0</v>
      </c>
      <c r="H21" s="52"/>
      <c r="I21" s="52"/>
      <c r="J21" s="52"/>
      <c r="K21" s="32"/>
    </row>
  </sheetData>
  <sheetProtection selectLockedCells="1" selectUnlockedCells="1"/>
  <hyperlinks>
    <hyperlink ref="E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I17"/>
  <sheetViews>
    <sheetView showGridLines="0" workbookViewId="0" topLeftCell="A1">
      <selection activeCell="D21" sqref="D21"/>
    </sheetView>
  </sheetViews>
  <sheetFormatPr defaultColWidth="9.140625" defaultRowHeight="12.75"/>
  <cols>
    <col min="7" max="7" width="9.28125" style="8" customWidth="1"/>
  </cols>
  <sheetData>
    <row r="2" ht="12.75">
      <c r="C2" s="80"/>
    </row>
    <row r="3" ht="12.75">
      <c r="G3" s="81"/>
    </row>
    <row r="4" spans="3:9" ht="12.75">
      <c r="C4" s="62">
        <f>'Input Data Here'!C5</f>
        <v>185</v>
      </c>
      <c r="D4" s="8" t="s">
        <v>149</v>
      </c>
      <c r="H4" s="62">
        <f>'Input Data Here'!C4</f>
        <v>2</v>
      </c>
      <c r="I4" s="8" t="s">
        <v>137</v>
      </c>
    </row>
    <row r="5" spans="3:9" ht="12.75">
      <c r="C5" s="62">
        <f>'Input Data Here'!C6</f>
        <v>2100</v>
      </c>
      <c r="D5" s="8" t="s">
        <v>150</v>
      </c>
      <c r="H5" s="30"/>
      <c r="I5" s="82"/>
    </row>
    <row r="6" spans="3:8" ht="13.5">
      <c r="C6" s="65">
        <f>((5252*C4)/C5)</f>
        <v>462.67619047619047</v>
      </c>
      <c r="D6" s="8" t="s">
        <v>151</v>
      </c>
      <c r="H6" s="30"/>
    </row>
    <row r="7" spans="3:8" ht="12.75">
      <c r="C7" s="83"/>
      <c r="H7" s="30"/>
    </row>
    <row r="8" spans="3:8" ht="12.75">
      <c r="C8" s="62">
        <f>'Input Data Here'!C9</f>
        <v>3</v>
      </c>
      <c r="D8" s="8" t="s">
        <v>152</v>
      </c>
      <c r="H8" s="30"/>
    </row>
    <row r="9" spans="3:8" ht="12.75">
      <c r="C9" s="64">
        <f>'Input Data Here'!C10</f>
        <v>2.86</v>
      </c>
      <c r="D9" s="8" t="s">
        <v>153</v>
      </c>
      <c r="H9" s="30"/>
    </row>
    <row r="10" spans="3:8" ht="12.75">
      <c r="C10" s="84">
        <f>'Displacement Speed'!B10</f>
        <v>7.5</v>
      </c>
      <c r="D10" s="8" t="s">
        <v>154</v>
      </c>
      <c r="H10" s="30"/>
    </row>
    <row r="11" spans="3:8" ht="12.75">
      <c r="C11" s="85"/>
      <c r="H11" s="86"/>
    </row>
    <row r="12" spans="3:9" ht="13.5">
      <c r="C12" s="65">
        <f>'Displacement Speed'!B11</f>
        <v>171.125</v>
      </c>
      <c r="D12" s="20" t="s">
        <v>155</v>
      </c>
      <c r="H12" s="65">
        <f>H4*'Torque &amp; SHP'!C12</f>
        <v>342.25</v>
      </c>
      <c r="I12" s="20" t="s">
        <v>156</v>
      </c>
    </row>
    <row r="13" spans="3:8" ht="13.5">
      <c r="C13" s="65">
        <f>C5/C9</f>
        <v>734.2657342657343</v>
      </c>
      <c r="D13" s="20" t="s">
        <v>157</v>
      </c>
      <c r="H13" s="77"/>
    </row>
    <row r="14" spans="3:9" ht="13.5">
      <c r="C14" s="65">
        <f>(5252*C12)/C13</f>
        <v>1224.009861904762</v>
      </c>
      <c r="D14" s="20" t="s">
        <v>158</v>
      </c>
      <c r="H14" s="65">
        <f>H4*'Torque &amp; SHP'!C14</f>
        <v>2448.019723809524</v>
      </c>
      <c r="I14" s="20" t="s">
        <v>159</v>
      </c>
    </row>
    <row r="16" ht="12.75">
      <c r="B16" s="28" t="s">
        <v>160</v>
      </c>
    </row>
    <row r="17" ht="12.75">
      <c r="B17" s="28" t="s">
        <v>161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Prop Dia"/>
  <dimension ref="B2:J24"/>
  <sheetViews>
    <sheetView showGridLines="0" workbookViewId="0" topLeftCell="A4">
      <selection activeCell="J12" sqref="J12"/>
    </sheetView>
  </sheetViews>
  <sheetFormatPr defaultColWidth="9.140625" defaultRowHeight="12.75"/>
  <sheetData>
    <row r="2" spans="2:6" ht="15.75">
      <c r="B2" s="11" t="s">
        <v>162</v>
      </c>
      <c r="F2" s="6" t="s">
        <v>12</v>
      </c>
    </row>
    <row r="3" spans="2:6" ht="15.75">
      <c r="B3" s="11"/>
      <c r="F3" s="6"/>
    </row>
    <row r="4" spans="2:6" ht="15.75">
      <c r="B4" s="11"/>
      <c r="C4" s="58" t="s">
        <v>163</v>
      </c>
      <c r="F4" s="6"/>
    </row>
    <row r="5" ht="12.75">
      <c r="D5" s="58" t="s">
        <v>164</v>
      </c>
    </row>
    <row r="6" ht="12.75">
      <c r="D6" s="58"/>
    </row>
    <row r="7" spans="3:4" ht="12.75">
      <c r="C7" s="62">
        <f>'Min Prop Dia'!C15</f>
        <v>43.59636881759766</v>
      </c>
      <c r="D7" s="8" t="s">
        <v>165</v>
      </c>
    </row>
    <row r="8" spans="3:10" ht="12.75">
      <c r="C8" s="87">
        <f>'Input Data Here'!G10</f>
        <v>40</v>
      </c>
      <c r="D8" s="8" t="s">
        <v>166</v>
      </c>
      <c r="H8" s="88">
        <f>IF(C7&gt;C8,"&lt;-- See Min Prop Dia sheet","No Warnings")</f>
        <v>0</v>
      </c>
      <c r="I8" s="13"/>
      <c r="J8" s="13"/>
    </row>
    <row r="9" spans="3:10" ht="12.75">
      <c r="C9" s="89"/>
      <c r="H9" s="33"/>
      <c r="I9" s="17"/>
      <c r="J9" s="17"/>
    </row>
    <row r="10" spans="3:4" ht="12.75">
      <c r="C10" s="55">
        <f>'Torque &amp; SHP'!C12</f>
        <v>171.125</v>
      </c>
      <c r="D10" s="8" t="s">
        <v>167</v>
      </c>
    </row>
    <row r="11" spans="3:4" ht="12.75">
      <c r="C11" s="55">
        <f>'Torque &amp; SHP'!C13</f>
        <v>734.2657342657343</v>
      </c>
      <c r="D11" s="8" t="s">
        <v>168</v>
      </c>
    </row>
    <row r="12" ht="12.75">
      <c r="C12" s="32"/>
    </row>
    <row r="13" spans="3:9" ht="12.75">
      <c r="C13" s="90">
        <f>(632.7*(POWER(C10,0.2)))/POWER(C11,0.6)</f>
        <v>33.75581279821549</v>
      </c>
      <c r="D13" s="8" t="s">
        <v>169</v>
      </c>
      <c r="H13" s="33"/>
      <c r="I13" s="17"/>
    </row>
    <row r="14" ht="12.75">
      <c r="D14" s="4" t="s">
        <v>170</v>
      </c>
    </row>
    <row r="16" ht="12.75">
      <c r="B16" s="91" t="s">
        <v>171</v>
      </c>
    </row>
    <row r="17" ht="12.75">
      <c r="B17" s="91" t="s">
        <v>172</v>
      </c>
    </row>
    <row r="18" ht="12.75">
      <c r="B18" s="91" t="s">
        <v>173</v>
      </c>
    </row>
    <row r="20" ht="12.75">
      <c r="B20" s="91" t="s">
        <v>174</v>
      </c>
    </row>
    <row r="21" ht="12.75">
      <c r="B21" s="91" t="s">
        <v>175</v>
      </c>
    </row>
    <row r="22" ht="12.75">
      <c r="B22" s="91" t="s">
        <v>176</v>
      </c>
    </row>
    <row r="23" ht="12.75">
      <c r="B23" s="91" t="s">
        <v>177</v>
      </c>
    </row>
    <row r="24" ht="12.75">
      <c r="B24" s="91" t="s">
        <v>178</v>
      </c>
    </row>
  </sheetData>
  <sheetProtection selectLockedCells="1" selectUnlockedCells="1"/>
  <hyperlinks>
    <hyperlink ref="F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in Prop Dia"/>
  <dimension ref="B2:L22"/>
  <sheetViews>
    <sheetView showGridLines="0" workbookViewId="0" topLeftCell="A1">
      <selection activeCell="I25" sqref="I25"/>
    </sheetView>
  </sheetViews>
  <sheetFormatPr defaultColWidth="9.140625" defaultRowHeight="12.75"/>
  <sheetData>
    <row r="2" spans="2:6" ht="15.75">
      <c r="B2" s="11" t="s">
        <v>179</v>
      </c>
      <c r="F2" s="6" t="s">
        <v>12</v>
      </c>
    </row>
    <row r="4" ht="12.75">
      <c r="C4" s="58" t="s">
        <v>163</v>
      </c>
    </row>
    <row r="5" ht="12.75">
      <c r="D5" s="61" t="s">
        <v>180</v>
      </c>
    </row>
    <row r="7" spans="3:7" ht="12.75">
      <c r="C7" s="92">
        <f>'Input Data Here'!G6</f>
        <v>21.6</v>
      </c>
      <c r="D7" s="8" t="s">
        <v>181</v>
      </c>
      <c r="F7" s="93">
        <f>'Input Data Here'!G10</f>
        <v>40</v>
      </c>
      <c r="G7" s="8" t="s">
        <v>182</v>
      </c>
    </row>
    <row r="8" spans="3:6" ht="12.75">
      <c r="C8" s="32"/>
      <c r="F8" s="30"/>
    </row>
    <row r="9" spans="3:11" ht="12.75">
      <c r="C9" s="92">
        <f>'Input Data Here'!G7</f>
        <v>8.3</v>
      </c>
      <c r="D9" s="8" t="s">
        <v>183</v>
      </c>
      <c r="F9" s="30"/>
      <c r="G9" s="31"/>
      <c r="H9" s="31"/>
      <c r="I9" s="31"/>
      <c r="J9" s="31"/>
      <c r="K9" s="31"/>
    </row>
    <row r="10" spans="3:12" ht="12.75">
      <c r="C10" s="32"/>
      <c r="L10" s="32"/>
    </row>
    <row r="11" spans="3:12" ht="12.75">
      <c r="C11" s="62">
        <f>'Input Data Here'!C4</f>
        <v>2</v>
      </c>
      <c r="D11" s="8" t="s">
        <v>137</v>
      </c>
      <c r="I11" s="94">
        <f>IF(C11=1,1,0)</f>
        <v>0</v>
      </c>
      <c r="J11" s="95" t="s">
        <v>184</v>
      </c>
      <c r="L11" s="32"/>
    </row>
    <row r="12" spans="3:12" ht="12.75">
      <c r="C12" s="32"/>
      <c r="I12" s="96">
        <f>IF(C11=2,0.8,0)</f>
        <v>0.8</v>
      </c>
      <c r="J12" s="97" t="s">
        <v>185</v>
      </c>
      <c r="L12" s="32"/>
    </row>
    <row r="13" spans="3:12" ht="12.75">
      <c r="C13" s="84">
        <f>I13+I12+I11</f>
        <v>0.8</v>
      </c>
      <c r="D13" s="8" t="s">
        <v>186</v>
      </c>
      <c r="I13" s="98">
        <f>IF(C11=3,0.65,0)</f>
        <v>0</v>
      </c>
      <c r="J13" s="99" t="s">
        <v>187</v>
      </c>
      <c r="L13" s="32"/>
    </row>
    <row r="14" spans="3:12" ht="12.75">
      <c r="C14" s="32"/>
      <c r="L14" s="32"/>
    </row>
    <row r="15" spans="3:12" ht="13.5">
      <c r="C15" s="65">
        <f>C13*(4.07*SQRT((C7*C9)))</f>
        <v>43.59636881759766</v>
      </c>
      <c r="D15" s="8" t="s">
        <v>188</v>
      </c>
      <c r="L15" s="32"/>
    </row>
    <row r="16" spans="10:12" ht="12.75">
      <c r="J16" s="31"/>
      <c r="K16" s="86"/>
      <c r="L16" s="32"/>
    </row>
    <row r="17" spans="4:9" ht="12.75">
      <c r="D17" s="88">
        <f>IF(C15&gt;'Input Data Here'!G10,"You have selected too small a max prop dia for this hull!","No Warnings, Propeller Adequate")</f>
        <v>0</v>
      </c>
      <c r="E17" s="13"/>
      <c r="F17" s="13"/>
      <c r="G17" s="13"/>
      <c r="H17" s="13"/>
      <c r="I17" s="13"/>
    </row>
    <row r="19" ht="12.75">
      <c r="B19" s="21" t="s">
        <v>189</v>
      </c>
    </row>
    <row r="20" ht="12.75">
      <c r="B20" s="21" t="s">
        <v>190</v>
      </c>
    </row>
    <row r="21" ht="12.75">
      <c r="B21" s="21" t="s">
        <v>191</v>
      </c>
    </row>
    <row r="22" ht="12.75">
      <c r="B22" s="21" t="s">
        <v>192</v>
      </c>
    </row>
  </sheetData>
  <sheetProtection selectLockedCells="1" selectUnlockedCells="1"/>
  <hyperlinks>
    <hyperlink ref="F2" location="'How To'!A1" display="How 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C3:D16"/>
  <sheetViews>
    <sheetView showGridLines="0" workbookViewId="0" topLeftCell="A1">
      <selection activeCell="C14" sqref="C14"/>
    </sheetView>
  </sheetViews>
  <sheetFormatPr defaultColWidth="9.140625" defaultRowHeight="12.75"/>
  <cols>
    <col min="5" max="5" width="9.28125" style="8" customWidth="1"/>
  </cols>
  <sheetData>
    <row r="3" spans="3:4" ht="12.75">
      <c r="C3" s="15">
        <f>'Power Required'!C7</f>
        <v>9</v>
      </c>
      <c r="D3" s="8" t="s">
        <v>193</v>
      </c>
    </row>
    <row r="4" spans="3:4" ht="12.75">
      <c r="C4" s="62">
        <f>'Torque &amp; SHP'!C13</f>
        <v>734.2657342657343</v>
      </c>
      <c r="D4" s="8" t="s">
        <v>194</v>
      </c>
    </row>
    <row r="5" ht="12.75">
      <c r="C5" s="32"/>
    </row>
    <row r="6" spans="3:4" ht="12.75">
      <c r="C6" s="100">
        <f>C3*101.3</f>
        <v>911.6999999999999</v>
      </c>
      <c r="D6" s="8" t="s">
        <v>195</v>
      </c>
    </row>
    <row r="7" ht="12.75">
      <c r="C7" s="32"/>
    </row>
    <row r="8" spans="3:4" ht="12.75">
      <c r="C8" s="84">
        <f>C6/C4</f>
        <v>1.2416485714285712</v>
      </c>
      <c r="D8" s="8" t="s">
        <v>196</v>
      </c>
    </row>
    <row r="9" ht="12.75">
      <c r="C9" s="32"/>
    </row>
    <row r="10" spans="3:4" ht="12.75">
      <c r="C10" s="84">
        <f>C8*12</f>
        <v>14.899782857142855</v>
      </c>
      <c r="D10" s="20" t="s">
        <v>197</v>
      </c>
    </row>
    <row r="11" ht="12.75">
      <c r="C11" s="32"/>
    </row>
    <row r="12" spans="3:4" ht="12.75">
      <c r="C12" s="101">
        <f>1.4/(POWER(C3,0.57))</f>
        <v>0.40013800756762546</v>
      </c>
      <c r="D12" s="8" t="s">
        <v>198</v>
      </c>
    </row>
    <row r="13" ht="12.75">
      <c r="C13" s="32"/>
    </row>
    <row r="14" spans="3:4" ht="12.75">
      <c r="C14" s="64">
        <f>'Wake Factor'!D12</f>
        <v>0.8705344081640572</v>
      </c>
      <c r="D14" s="8" t="s">
        <v>199</v>
      </c>
    </row>
    <row r="15" ht="12.75">
      <c r="C15" s="67"/>
    </row>
    <row r="16" spans="3:4" ht="13.5">
      <c r="C16" s="65">
        <f>(C10*(1+C12))/C14</f>
        <v>23.96430524416301</v>
      </c>
      <c r="D16" s="20" t="s">
        <v>200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PropKing</dc:title>
  <dc:subject>Propeller (Marine) Calculator</dc:subject>
  <dc:creator>J Bunt</dc:creator>
  <cp:keywords>propeller marine boat calculator hull lwl</cp:keywords>
  <dc:description/>
  <cp:lastModifiedBy/>
  <cp:lastPrinted>1998-09-08T15:47:51Z</cp:lastPrinted>
  <dcterms:created xsi:type="dcterms:W3CDTF">1998-09-08T02:32:27Z</dcterms:created>
  <dcterms:modified xsi:type="dcterms:W3CDTF">2016-05-09T16:34:12Z</dcterms:modified>
  <cp:category/>
  <cp:version/>
  <cp:contentType/>
  <cp:contentStatus/>
  <cp:revision>3</cp:revision>
</cp:coreProperties>
</file>